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<sst xmlns="http://schemas.openxmlformats.org/spreadsheetml/2006/main" count="3363" uniqueCount="473">
  <si>
    <t>Chemical</t>
  </si>
  <si>
    <t>Route of Metab. or Elimination</t>
  </si>
  <si>
    <t>Metabolic type (as shortened and grouped)</t>
  </si>
  <si>
    <t>Parameter</t>
  </si>
  <si>
    <t>Parameter standardized</t>
  </si>
  <si>
    <t>Units</t>
  </si>
  <si>
    <t>Mean</t>
  </si>
  <si>
    <t>Log(Mean)</t>
  </si>
  <si>
    <t>Standard Error</t>
  </si>
  <si>
    <t>CV--Std dev/mean</t>
  </si>
  <si>
    <t>In Var Weight (Mean/SE)^2</t>
  </si>
  <si>
    <t>Sqrt N Weight</t>
  </si>
  <si>
    <t>N</t>
  </si>
  <si>
    <t>Age Range</t>
  </si>
  <si>
    <t>Mean Child Age (yrs)</t>
  </si>
  <si>
    <t>Reference</t>
  </si>
  <si>
    <t>WORKBOOK</t>
  </si>
  <si>
    <t>Worksheet</t>
  </si>
  <si>
    <t>Alfentanil</t>
  </si>
  <si>
    <t>CYP3A4</t>
  </si>
  <si>
    <t>Cyp 3A  or 3A4</t>
  </si>
  <si>
    <t>Cl</t>
  </si>
  <si>
    <t>ml/min-kg</t>
  </si>
  <si>
    <t>premature neonates</t>
  </si>
  <si>
    <t>&lt;.01</t>
  </si>
  <si>
    <t>Jacqz-Aigrain and Burtin, 1996</t>
  </si>
  <si>
    <t>Child</t>
  </si>
  <si>
    <t>full term neonates</t>
  </si>
  <si>
    <t>Jacqz-Aigrain and Burtin, 1997</t>
  </si>
  <si>
    <t>4 to 8</t>
  </si>
  <si>
    <t>Meistelman, 1987</t>
  </si>
  <si>
    <t>Combined</t>
  </si>
  <si>
    <t>Adult</t>
  </si>
  <si>
    <t>20+</t>
  </si>
  <si>
    <t>T1/2</t>
  </si>
  <si>
    <t>T 1/2</t>
  </si>
  <si>
    <t>h</t>
  </si>
  <si>
    <t>Combined Adult</t>
  </si>
  <si>
    <t>Meistelman, 1987; Lemmens, 1994</t>
  </si>
  <si>
    <t>Vd</t>
  </si>
  <si>
    <t>l/kg</t>
  </si>
  <si>
    <t xml:space="preserve">Vd </t>
  </si>
  <si>
    <t>Amobarbital</t>
  </si>
  <si>
    <t>CYP2C19</t>
  </si>
  <si>
    <t>CYP 2C9 and 2C19</t>
  </si>
  <si>
    <t>Krauer, 1973</t>
  </si>
  <si>
    <t>adults</t>
  </si>
  <si>
    <t>Ampicillin</t>
  </si>
  <si>
    <t>Renal</t>
  </si>
  <si>
    <t>1-10 days</t>
  </si>
  <si>
    <t>WJ Jusko 1972</t>
  </si>
  <si>
    <t>*</t>
  </si>
  <si>
    <t>11-20 days</t>
  </si>
  <si>
    <t>21-30 days</t>
  </si>
  <si>
    <t>31-90 days</t>
  </si>
  <si>
    <t>adult</t>
  </si>
  <si>
    <t>Antipyrene</t>
  </si>
  <si>
    <t>multiple P450's</t>
  </si>
  <si>
    <t>6-12.</t>
  </si>
  <si>
    <t>Linday, 1991</t>
  </si>
  <si>
    <t>Bromsulphalein</t>
  </si>
  <si>
    <t>liver metab./ biliary excr.</t>
  </si>
  <si>
    <t>liver metabolism and biliary excretion</t>
  </si>
  <si>
    <t>Cl (body)</t>
  </si>
  <si>
    <t>ml/kg-min</t>
  </si>
  <si>
    <t>31-60 days</t>
  </si>
  <si>
    <t>61-90 days</t>
  </si>
  <si>
    <t>3 mo.-14 yr</t>
  </si>
  <si>
    <t>not given</t>
  </si>
  <si>
    <t>Bupivacaine</t>
  </si>
  <si>
    <t>CYP1A2</t>
  </si>
  <si>
    <t>Cyp 1A2</t>
  </si>
  <si>
    <t>neonates 1-21 days</t>
  </si>
  <si>
    <t>Anderson, etal. 1997</t>
  </si>
  <si>
    <t>.1-.5</t>
  </si>
  <si>
    <t>Mazoit, 1988</t>
  </si>
  <si>
    <t xml:space="preserve">T1/2  </t>
  </si>
  <si>
    <t>Pre-adolescent(5.5-10yr)</t>
  </si>
  <si>
    <t>7.25</t>
  </si>
  <si>
    <t>Ecoffey, 1985</t>
  </si>
  <si>
    <t>Bupivacaine2</t>
  </si>
  <si>
    <t>Debruyne, 1990</t>
  </si>
  <si>
    <t>Busulfan</t>
  </si>
  <si>
    <t>GSH conj (40%); various others</t>
  </si>
  <si>
    <t>unclassified</t>
  </si>
  <si>
    <t>0.5-4 y</t>
  </si>
  <si>
    <t>Gibbs et al 1997</t>
  </si>
  <si>
    <t>Caffeine</t>
  </si>
  <si>
    <t xml:space="preserve">CYP 1A2, 2E1 </t>
  </si>
  <si>
    <t>Cl (total)</t>
  </si>
  <si>
    <t>6 d</t>
  </si>
  <si>
    <t>Gorodischer et al 1977</t>
  </si>
  <si>
    <t>Cl (plasma)</t>
  </si>
  <si>
    <t>11.5 d</t>
  </si>
  <si>
    <t>Aranda et al 1979</t>
  </si>
  <si>
    <t>Parsons and Neims 1978</t>
  </si>
  <si>
    <t>neonates, 1-4 d</t>
  </si>
  <si>
    <t>Parsons et al 1976</t>
  </si>
  <si>
    <t>Carbamazepine</t>
  </si>
  <si>
    <t>3A4(major)+2C8;1A2, gluc.</t>
  </si>
  <si>
    <t>AUC/dose</t>
  </si>
  <si>
    <t>AUC</t>
  </si>
  <si>
    <t>umol/L per mg/kg/day</t>
  </si>
  <si>
    <t>.3-2 yr</t>
  </si>
  <si>
    <t>Pynnonen, 1977</t>
  </si>
  <si>
    <t>Carbamazepine5</t>
  </si>
  <si>
    <t>same as above</t>
  </si>
  <si>
    <t>2-12.</t>
  </si>
  <si>
    <t>2-6yr</t>
  </si>
  <si>
    <t>4</t>
  </si>
  <si>
    <t>Svinarov, 1996</t>
  </si>
  <si>
    <t>Carbamazepine4</t>
  </si>
  <si>
    <t>7-14yr</t>
  </si>
  <si>
    <t>10.5</t>
  </si>
  <si>
    <t>12-18.</t>
  </si>
  <si>
    <t>adult (&gt;15yr)</t>
  </si>
  <si>
    <t>15+</t>
  </si>
  <si>
    <t>t1/2( trans-placental exp.)</t>
  </si>
  <si>
    <t xml:space="preserve">newborn </t>
  </si>
  <si>
    <t>Kuhnz, 1983</t>
  </si>
  <si>
    <t>Carbamazepine7</t>
  </si>
  <si>
    <t>t1/2 (steady st.)</t>
  </si>
  <si>
    <t>Eichelbaum, 1975</t>
  </si>
  <si>
    <t>Carbamazepine8</t>
  </si>
  <si>
    <t>t1/2 (steady st)</t>
  </si>
  <si>
    <t>Eichelbaum, 1985</t>
  </si>
  <si>
    <t>Chloral hydrate</t>
  </si>
  <si>
    <t>alcohol dehydrogenase</t>
  </si>
  <si>
    <t>(mg/l/h)/(mg/kg dose)</t>
  </si>
  <si>
    <t>31-37 wks gestation</t>
  </si>
  <si>
    <t>preterm newborn</t>
  </si>
  <si>
    <t>Mayers,1991</t>
  </si>
  <si>
    <t>Chloral Hydrate</t>
  </si>
  <si>
    <t>38-42 wks</t>
  </si>
  <si>
    <t>term newborn</t>
  </si>
  <si>
    <t>Cl oral</t>
  </si>
  <si>
    <t>ml/min/kg</t>
  </si>
  <si>
    <t>Cmax/dose</t>
  </si>
  <si>
    <t>Cmax</t>
  </si>
  <si>
    <t>(mg/l)/(mg/kg dose)</t>
  </si>
  <si>
    <t>Zimmermann,1998</t>
  </si>
  <si>
    <t>T 1/2 terminal</t>
  </si>
  <si>
    <t>Cimetidine</t>
  </si>
  <si>
    <t xml:space="preserve">70% renal </t>
  </si>
  <si>
    <t>4-15.</t>
  </si>
  <si>
    <t>Lloyd, 1985</t>
  </si>
  <si>
    <t>Grahnen, 1979; Redolfi, 1979</t>
  </si>
  <si>
    <t>Cimetidine1/Cimetidine2</t>
  </si>
  <si>
    <t>Clavulanic Acid</t>
  </si>
  <si>
    <t>50-60% metab - path unk</t>
  </si>
  <si>
    <t>1 mo - 2 yr</t>
  </si>
  <si>
    <t>Reed, 1998</t>
  </si>
  <si>
    <t>2-12 yr</t>
  </si>
  <si>
    <t>&gt;18 yr</t>
  </si>
  <si>
    <t>Cotinine (dosed with nicotine)</t>
  </si>
  <si>
    <t>CYP2A6(50%), gluc.(16%), renal(13%)</t>
  </si>
  <si>
    <t>CYP2A6</t>
  </si>
  <si>
    <t>T1/2 blood</t>
  </si>
  <si>
    <t>Full term neonate</t>
  </si>
  <si>
    <t>Dempsey, 2000</t>
  </si>
  <si>
    <t>Nicotine1</t>
  </si>
  <si>
    <t>Combined Adult (although smokers w/longer t1/2)</t>
  </si>
  <si>
    <t>Benowitz, 1993</t>
  </si>
  <si>
    <t>Nicotine2</t>
  </si>
  <si>
    <t>Dapsone</t>
  </si>
  <si>
    <t xml:space="preserve">N-acetyltrans. - 50%; also CYPs </t>
  </si>
  <si>
    <t>N-acetyltransferase</t>
  </si>
  <si>
    <t>(mg-h/l)/(mg/kg dose)</t>
  </si>
  <si>
    <t>Wistanley, 1997</t>
  </si>
  <si>
    <t>Dapsone1</t>
  </si>
  <si>
    <t>Pieters, 1986</t>
  </si>
  <si>
    <t>Dapsone2</t>
  </si>
  <si>
    <t>Swain, 1983</t>
  </si>
  <si>
    <t>Dapsone4</t>
  </si>
  <si>
    <t>Wiggan, 1991</t>
  </si>
  <si>
    <t>Dapsone3</t>
  </si>
  <si>
    <t xml:space="preserve">Cl oral </t>
  </si>
  <si>
    <t>18 - 46 months</t>
  </si>
  <si>
    <t>Cl total</t>
  </si>
  <si>
    <t xml:space="preserve">Cmax/dose </t>
  </si>
  <si>
    <t>12-23 months</t>
  </si>
  <si>
    <t>1.5</t>
  </si>
  <si>
    <t>30-46 months</t>
  </si>
  <si>
    <t>Cmax/dose-combined adults</t>
  </si>
  <si>
    <t>T1/2 - combined adults</t>
  </si>
  <si>
    <t>Dichloroacetate</t>
  </si>
  <si>
    <t>Cyps and radical reactions</t>
  </si>
  <si>
    <t>AUC/IV dose</t>
  </si>
  <si>
    <t>(mg-h/l)/(mg/kg)</t>
  </si>
  <si>
    <t>18 mo - 10 yr</t>
  </si>
  <si>
    <t>Krishna, 1995</t>
  </si>
  <si>
    <t>Dichloroacetate1</t>
  </si>
  <si>
    <t>AUC/dose (one dose)</t>
  </si>
  <si>
    <t>Stacpoole, 1998 from Henderson, 1997</t>
  </si>
  <si>
    <t>Dichloroacetate2</t>
  </si>
  <si>
    <t xml:space="preserve"> </t>
  </si>
  <si>
    <t>Krishna, 1994</t>
  </si>
  <si>
    <t>Dichloroacetate3</t>
  </si>
  <si>
    <t>Cl plasma - one dose</t>
  </si>
  <si>
    <t xml:space="preserve">Cmax/IV dose </t>
  </si>
  <si>
    <t>(mg/l )/(mg/kg)</t>
  </si>
  <si>
    <t>(mg/l )/(mg/kg dose)</t>
  </si>
  <si>
    <t>Cmax/dose (one dose)</t>
  </si>
  <si>
    <t>T1/2 - one dose</t>
  </si>
  <si>
    <t>Ethanol</t>
  </si>
  <si>
    <t>ADH &gt; CYP2E1 &gt; catalase</t>
  </si>
  <si>
    <t>Idanpaan-Heikkila, 1972</t>
  </si>
  <si>
    <t>Fentanyl</t>
  </si>
  <si>
    <t>Cyp 3A4 + 2D6/2C8/9 - minor</t>
  </si>
  <si>
    <t>Premature neonate</t>
  </si>
  <si>
    <t>Saarenmaa (2000)</t>
  </si>
  <si>
    <t>Revised &amp; Extended Fentanyl</t>
  </si>
  <si>
    <t>Saarenmaa 2000</t>
  </si>
  <si>
    <t>Johnson (1984)</t>
  </si>
  <si>
    <t>Johnson 1984</t>
  </si>
  <si>
    <t>.5-7 days</t>
  </si>
  <si>
    <t>Koehntop (1984)</t>
  </si>
  <si>
    <t>Koehntop 1984</t>
  </si>
  <si>
    <t>3-10 months</t>
  </si>
  <si>
    <t>Singleton (1984)</t>
  </si>
  <si>
    <t>combined aldult</t>
  </si>
  <si>
    <t>Mather 1983; Johnson 1984; Singleton (1984) Lemmens (1994)</t>
  </si>
  <si>
    <t>Mather 1983 &amp; Adult Comb</t>
  </si>
  <si>
    <t>Neonate 6-26 days</t>
  </si>
  <si>
    <t>Santeiro, 1997</t>
  </si>
  <si>
    <t>hr</t>
  </si>
  <si>
    <t xml:space="preserve">Mather 1983; Johnson 1984; </t>
  </si>
  <si>
    <t>Vd ss</t>
  </si>
  <si>
    <t>L/kg</t>
  </si>
  <si>
    <t>VdSS</t>
  </si>
  <si>
    <t>Furosemide</t>
  </si>
  <si>
    <t>neonates</t>
  </si>
  <si>
    <t>Aranda et al 1978</t>
  </si>
  <si>
    <t>Furosemide2</t>
  </si>
  <si>
    <t>8.5 d</t>
  </si>
  <si>
    <t>Peterson et al 1980</t>
  </si>
  <si>
    <t>Furosemide1</t>
  </si>
  <si>
    <t>Cutler et al 1974</t>
  </si>
  <si>
    <t>Gentamicin</t>
  </si>
  <si>
    <t>premature and full term neonates (1-84 days postnatal)</t>
  </si>
  <si>
    <t>Rodvold, 1993</t>
  </si>
  <si>
    <t>Gentamicin1</t>
  </si>
  <si>
    <t>Kirkpatrick, 1999</t>
  </si>
  <si>
    <t xml:space="preserve">Renal </t>
  </si>
  <si>
    <t>Infants 2-24 months</t>
  </si>
  <si>
    <t>McCracken, 1972</t>
  </si>
  <si>
    <t>Gentamicin2</t>
  </si>
  <si>
    <t>0.7-9 yr</t>
  </si>
  <si>
    <t>Siber et al 1979</t>
  </si>
  <si>
    <t>2-18 yr</t>
  </si>
  <si>
    <t>Evans et al 1979</t>
  </si>
  <si>
    <t>combined adult</t>
  </si>
  <si>
    <t>Siber, 1979; Walker, 1979</t>
  </si>
  <si>
    <t>Ketamine</t>
  </si>
  <si>
    <t xml:space="preserve">CYP3A and 2D; other paths also poss. </t>
  </si>
  <si>
    <t>&lt; 3 mo</t>
  </si>
  <si>
    <t>Cook and Davis, 1988; cited in Anderson, 1997</t>
  </si>
  <si>
    <t>3-12 mo</t>
  </si>
  <si>
    <t>Vss</t>
  </si>
  <si>
    <t xml:space="preserve">Lidocaine </t>
  </si>
  <si>
    <t>Cyp 3A (major); Cyp 1A2, 2B1 (minor)</t>
  </si>
  <si>
    <t>Cl--total</t>
  </si>
  <si>
    <t>premature neonates, 9-42 days</t>
  </si>
  <si>
    <t>.03-.1</t>
  </si>
  <si>
    <t>Mihaly, 1978</t>
  </si>
  <si>
    <t xml:space="preserve">Lignocaine </t>
  </si>
  <si>
    <t>Rowland, 1971</t>
  </si>
  <si>
    <t>Vd/Vss</t>
  </si>
  <si>
    <t>Lorazepam</t>
  </si>
  <si>
    <t>Glucuronidation</t>
  </si>
  <si>
    <t>&lt;.01?</t>
  </si>
  <si>
    <t>McDermott, 1993</t>
  </si>
  <si>
    <t>Greenblatt, 1979</t>
  </si>
  <si>
    <t>Mepivicaine</t>
  </si>
  <si>
    <t>CYP1A2 (major); Cyp 3A4 (minor);</t>
  </si>
  <si>
    <t>≤.01</t>
  </si>
  <si>
    <t>premature neonates (gest age 32-35 wks)</t>
  </si>
  <si>
    <t>Moore, 1978</t>
  </si>
  <si>
    <t xml:space="preserve">Mepivicaine </t>
  </si>
  <si>
    <t>Metoclopramide</t>
  </si>
  <si>
    <t>Sulfation (35%) &gt; Gluc &gt; (20%) &gt; CYPs</t>
  </si>
  <si>
    <t>Sulphation and Glucuronidation</t>
  </si>
  <si>
    <t>AUC/oral dose</t>
  </si>
  <si>
    <t>premature neonates, 1-7 weeks post-natal</t>
  </si>
  <si>
    <t>Kearns, 1998</t>
  </si>
  <si>
    <t>Ross-Lee, 1981</t>
  </si>
  <si>
    <t>Cmax/oral dose/BW</t>
  </si>
  <si>
    <t>Midazolam</t>
  </si>
  <si>
    <t>CYP3A</t>
  </si>
  <si>
    <t>AUC/100µg/kg oral dose</t>
  </si>
  <si>
    <t>1.75-4</t>
  </si>
  <si>
    <t>Rey, 1991</t>
  </si>
  <si>
    <t>Koopmans, 1988</t>
  </si>
  <si>
    <t>Midazolam2</t>
  </si>
  <si>
    <t>Koopmans, 1988; Thummel, 1996</t>
  </si>
  <si>
    <t>Midazolam1/Midazolam2</t>
  </si>
  <si>
    <t>Morphine</t>
  </si>
  <si>
    <t>Combined premature neonates</t>
  </si>
  <si>
    <t>Choonara, 1990; Chay, 1992; Hartley, 1993</t>
  </si>
  <si>
    <t>Morphine Comb</t>
  </si>
  <si>
    <t>Combined full term neonates</t>
  </si>
  <si>
    <t>Pokela, 1993; McRorie, 1992; Lynn, 1987; Bhat, 1990; Chay, 1992</t>
  </si>
  <si>
    <t>Combined 1 wk - 2 months</t>
  </si>
  <si>
    <t>Choonara, 1992; McRorie, 1992; Pokela, 1993; Lynn, 1987</t>
  </si>
  <si>
    <t>Combined 2 months - 6 months</t>
  </si>
  <si>
    <t>Pokela, 1993, McRorie, 1992</t>
  </si>
  <si>
    <t>181d-2.5 y</t>
  </si>
  <si>
    <t>McRorie, 1992</t>
  </si>
  <si>
    <t>Adults</t>
  </si>
  <si>
    <t>Stanski, 1978</t>
  </si>
  <si>
    <t>Morphine2</t>
  </si>
  <si>
    <t>Chay, 1992; Hartley, 1993</t>
  </si>
  <si>
    <t>Pokela, 1993; Lynn, 1987; Bhat, 1990; Chay, 1992</t>
  </si>
  <si>
    <t>Lynn, 1987; compiled by Jacz-Aigrain, 1996; Pokela, 1993</t>
  </si>
  <si>
    <t>72-162 days (excluding critically ill)</t>
  </si>
  <si>
    <t>Pokela, 1993</t>
  </si>
  <si>
    <t>Stanski, 1978; Gustafsson, 1984</t>
  </si>
  <si>
    <t>Morphine1</t>
  </si>
  <si>
    <t>Pokela, 1993; Lynn, 1987; Bhat, 1992, Chay, 1992</t>
  </si>
  <si>
    <t>Pokela, 1993; Lynn, 1987</t>
  </si>
  <si>
    <t>72-162 days</t>
  </si>
  <si>
    <t>Nicotine</t>
  </si>
  <si>
    <t>CYP2A6 (80%), gluc. + renal - minor</t>
  </si>
  <si>
    <t>T1/2 blood - all adults combined</t>
  </si>
  <si>
    <t>Combined adult</t>
  </si>
  <si>
    <t>Nifedipine</t>
  </si>
  <si>
    <t>Cmax/(oral dose/BW)</t>
  </si>
  <si>
    <t>5-68 months</t>
  </si>
  <si>
    <t>Johnson, 1991</t>
  </si>
  <si>
    <t>Kleinbloesem, 1984</t>
  </si>
  <si>
    <t>Nifedipine1</t>
  </si>
  <si>
    <t>Pasanisi, 1985; Kleinbloesem, 1984</t>
  </si>
  <si>
    <t>Nifedipine1/Nifedipine2</t>
  </si>
  <si>
    <t xml:space="preserve">Oxazepam </t>
  </si>
  <si>
    <t>Tomson, 1979</t>
  </si>
  <si>
    <t>Paracetamol (acetaminophen)</t>
  </si>
  <si>
    <t xml:space="preserve">Gluc. (60%) &gt; sulf.(35%) &gt; CYP1A2 ,2E1, 3A4 </t>
  </si>
  <si>
    <t>(mg-hr/l)/mg/kg dose</t>
  </si>
  <si>
    <t>neonates &lt;10 days</t>
  </si>
  <si>
    <t>Autret, 1993</t>
  </si>
  <si>
    <t xml:space="preserve">Paracetamol </t>
  </si>
  <si>
    <t>infants 10-232 days</t>
  </si>
  <si>
    <t>Combined neonates &lt;10 days</t>
  </si>
  <si>
    <t>Autret, 1993; Levy, 1975; Miller, 1976</t>
  </si>
  <si>
    <t>3-9 yrs</t>
  </si>
  <si>
    <t>Miller et al 1976</t>
  </si>
  <si>
    <t>12 yr</t>
  </si>
  <si>
    <t>combined adults</t>
  </si>
  <si>
    <t>Nash, 1984; Shively, 1975; Miller 1976</t>
  </si>
  <si>
    <t>Piperacillin</t>
  </si>
  <si>
    <t>Renal (70%)</t>
  </si>
  <si>
    <t>(mg-hr/l)/(mg/kgIV)</t>
  </si>
  <si>
    <t>1-6 mo</t>
  </si>
  <si>
    <t>Thirumoorthi et al 1983</t>
  </si>
  <si>
    <t>1-2 yr</t>
  </si>
  <si>
    <t>6-12 mo</t>
  </si>
  <si>
    <t>10-12 yr</t>
  </si>
  <si>
    <t>2-5 yr</t>
  </si>
  <si>
    <t>5-10 yr</t>
  </si>
  <si>
    <t>Batra et al 1979; Tjandramaga, 1978, cited by Thirumoorthi 1983</t>
  </si>
  <si>
    <t>Quinidine</t>
  </si>
  <si>
    <t>CYP3A4 (&gt;50%)</t>
  </si>
  <si>
    <t>Szefler et al 1982</t>
  </si>
  <si>
    <t>12-22 yrs</t>
  </si>
  <si>
    <t>Remifentanil</t>
  </si>
  <si>
    <t>CYP3A4 (major); 2D6,2C8/9 (minor)</t>
  </si>
  <si>
    <t>Anderson, McKess and Holford, 1997</t>
  </si>
  <si>
    <t>Teniposide</t>
  </si>
  <si>
    <t>Cyp3A (primary) +50% renal</t>
  </si>
  <si>
    <t>2-4 yrs</t>
  </si>
  <si>
    <t>Evans, 1989</t>
  </si>
  <si>
    <t>5-11 yrs</t>
  </si>
  <si>
    <t>13-28 yrs</t>
  </si>
  <si>
    <t>Theophylline</t>
  </si>
  <si>
    <t>CYP 1A2 (70%) &gt; 2E1 &gt; 3A4</t>
  </si>
  <si>
    <t>ml/kg/min</t>
  </si>
  <si>
    <t>2.9 d</t>
  </si>
  <si>
    <t>Brazier et al 1979</t>
  </si>
  <si>
    <t>neonates, 1-26 d</t>
  </si>
  <si>
    <t>Hilligoss et al 1980</t>
  </si>
  <si>
    <t>neonates, 3-36 d</t>
  </si>
  <si>
    <t>Jones et al 1979</t>
  </si>
  <si>
    <t>premature neonates with apnea</t>
  </si>
  <si>
    <t>41 d</t>
  </si>
  <si>
    <t>Giacoia et al 1976</t>
  </si>
  <si>
    <t>Theophylline2</t>
  </si>
  <si>
    <t>7.5 d</t>
  </si>
  <si>
    <t>Aranda et al 1976</t>
  </si>
  <si>
    <t>3 weeks - 6.5 months</t>
  </si>
  <si>
    <t>Franko, 1982</t>
  </si>
  <si>
    <t>Theophylline6</t>
  </si>
  <si>
    <t>infants</t>
  </si>
  <si>
    <t>6 mo</t>
  </si>
  <si>
    <t>Rosen et al, 1979</t>
  </si>
  <si>
    <t>Theophylline5</t>
  </si>
  <si>
    <t>3-18 mo</t>
  </si>
  <si>
    <t>7 mo</t>
  </si>
  <si>
    <t>Simons and Simons 1978</t>
  </si>
  <si>
    <t>Theophylline4</t>
  </si>
  <si>
    <t>15.6 mo</t>
  </si>
  <si>
    <t>1-4 yrs</t>
  </si>
  <si>
    <t>2.5 yrs</t>
  </si>
  <si>
    <t>Loughnan et al 1976</t>
  </si>
  <si>
    <t>Theophylline1</t>
  </si>
  <si>
    <t>4-12 yrs</t>
  </si>
  <si>
    <t>9.4 yrs</t>
  </si>
  <si>
    <t>Ginchansky and Weinberger 1977</t>
  </si>
  <si>
    <t>6-17 yrs</t>
  </si>
  <si>
    <t>10.7 yrs</t>
  </si>
  <si>
    <t>Ellis et al 1976</t>
  </si>
  <si>
    <t>Theophylline3</t>
  </si>
  <si>
    <t>13-15 yrs</t>
  </si>
  <si>
    <t>14 yrs</t>
  </si>
  <si>
    <t>Powell, 1977; Miller, 1984; Mitenko and Ogilvie, 1973; Jusko 1978; Pfeifer, 1979; Ellis, 1976</t>
  </si>
  <si>
    <t>3 wks</t>
  </si>
  <si>
    <t>Gabriel 1978</t>
  </si>
  <si>
    <t>9.1 d</t>
  </si>
  <si>
    <t>Boutroy et al 1978</t>
  </si>
  <si>
    <t>term infants</t>
  </si>
  <si>
    <t>12 wks</t>
  </si>
  <si>
    <t>Nassif et al 1979</t>
  </si>
  <si>
    <t>Miller 1984; Chester 1982; Miller 1985; Powell, 1977; Loughnan, 1976; Mitenko and Ogilvie, 1973; Jusko, 1978; Pfeifer, 1979; Ellis, 1976; Hendeles, 1978</t>
  </si>
  <si>
    <t>Theophylline1/Theophylline2</t>
  </si>
  <si>
    <t>Miller 1984; Mitenko and Ogilvie, 1973; Jusko, 1978; Pfeifer, 1979; Ellis, 1976; Hendeles, 1978</t>
  </si>
  <si>
    <t>Thiopentone</t>
  </si>
  <si>
    <t>CYP2C19 (major) some glucuron.</t>
  </si>
  <si>
    <t>ml/h/kg</t>
  </si>
  <si>
    <t>5 mo - 3.5 yr</t>
  </si>
  <si>
    <t>Sorbo, 1984</t>
  </si>
  <si>
    <t>Thiopentone1</t>
  </si>
  <si>
    <t>4 - 14 yr</t>
  </si>
  <si>
    <t>Burch, 1983</t>
  </si>
  <si>
    <t>Thiopentone2</t>
  </si>
  <si>
    <t>Full Term neonate</t>
  </si>
  <si>
    <t>Gaspari, 1985</t>
  </si>
  <si>
    <t>Thiopentone3</t>
  </si>
  <si>
    <t>5 mo - 13 yr</t>
  </si>
  <si>
    <t xml:space="preserve">Vd ss </t>
  </si>
  <si>
    <t>Ticarcillin</t>
  </si>
  <si>
    <t>Tobramycin</t>
  </si>
  <si>
    <t>10-14 yr</t>
  </si>
  <si>
    <t>Bragonier, 1998</t>
  </si>
  <si>
    <t>Blouin, 1979</t>
  </si>
  <si>
    <t>Tolbutamid</t>
  </si>
  <si>
    <t>CYP2C9</t>
  </si>
  <si>
    <t>Nitowski, 1966</t>
  </si>
  <si>
    <t>Triazolam</t>
  </si>
  <si>
    <t>6-9.</t>
  </si>
  <si>
    <t>LeRoux, 1997</t>
  </si>
  <si>
    <t>Jochemsen, 1983</t>
  </si>
  <si>
    <r>
      <t xml:space="preserve">TrichloroEtOH </t>
    </r>
    <r>
      <rPr>
        <sz val="8"/>
        <rFont val="Arial"/>
        <family val="2"/>
      </rPr>
      <t>(post chloral hydrate)</t>
    </r>
  </si>
  <si>
    <t>glucuronidation</t>
  </si>
  <si>
    <t>Preterm neonate</t>
  </si>
  <si>
    <t>Trichloroethanol</t>
  </si>
  <si>
    <t xml:space="preserve">T 1/2 </t>
  </si>
  <si>
    <t>Breimer,1977</t>
  </si>
  <si>
    <t>Trichloroethanol2</t>
  </si>
  <si>
    <t>Valproic Acid</t>
  </si>
  <si>
    <t>glucuron (20-70%) &gt; CYPs</t>
  </si>
  <si>
    <t>.25-2</t>
  </si>
  <si>
    <t>Hall et al 1983</t>
  </si>
  <si>
    <t>4-8.</t>
  </si>
  <si>
    <t>11-21.</t>
  </si>
  <si>
    <t>Vancomycin</t>
  </si>
  <si>
    <t>renal</t>
  </si>
  <si>
    <t>premature, 4-17 days postnatal</t>
  </si>
  <si>
    <t>Jarrett, 1993</t>
  </si>
  <si>
    <t>Cutler, 1984</t>
  </si>
  <si>
    <t>Zidovudine</t>
  </si>
  <si>
    <t>glucuron (major) &gt; CYP3A</t>
  </si>
  <si>
    <t>child (1-13 yrs)</t>
  </si>
  <si>
    <t>Balis et al 1989</t>
  </si>
  <si>
    <t>*Data taken directly from source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</si>
</sst>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0">
    <font>
      <sz val="10"/>
      <name val="Arial"/>
      <family val="0"/>
    </font>
    <font>
      <b/>
      <sz val="11"/>
      <name val="Tms Rmn"/>
      <family val="0"/>
    </font>
    <font>
      <b/>
      <sz val="11"/>
      <name val="Geneva"/>
      <family val="0"/>
    </font>
    <font>
      <sz val="10"/>
      <name val="Tms Rmn"/>
      <family val="0"/>
    </font>
    <font>
      <sz val="10"/>
      <name val="Geneva"/>
      <family val="0"/>
    </font>
    <font>
      <sz val="9"/>
      <name val="Tms Rmn"/>
      <family val="0"/>
    </font>
    <font>
      <sz val="9"/>
      <name val="Arial"/>
      <family val="2"/>
    </font>
    <font>
      <sz val="8"/>
      <name val="Arial"/>
      <family val="2"/>
    </font>
    <font>
      <sz val="8"/>
      <name val="Tms Rmn"/>
      <family val="0"/>
    </font>
    <font>
      <sz val="10"/>
      <color indexed="8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2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6" fontId="0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16" fontId="3" fillId="0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167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164" fontId="4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167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insberg\5/01%20new%20data%20&amp;%20anal\3/01%20updated%20analysis\PKdataba2/14%20Folder\PKDATA4-INV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insberg\5/01%20new%20data%20&amp;%20anal\3/01%20updated%20analysis\PKdataba2/14%20Folder\PKDATA3-INVI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insberg\5/01%20new%20data%20&amp;%20anal\3/01%20updated%20analysis\PKdataba2/14%20Folder\Backup%20of%20PKDATA3-INV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pivacaine2"/>
      <sheetName val="Nicotine1"/>
    </sheetNames>
    <sheetDataSet>
      <sheetData sheetId="0">
        <row r="14">
          <cell r="I14">
            <v>4.616666666666666</v>
          </cell>
        </row>
      </sheetData>
      <sheetData sheetId="1">
        <row r="20">
          <cell r="B20">
            <v>16.3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psone1"/>
      <sheetName val="Dapsone2"/>
      <sheetName val="Dapsone3"/>
      <sheetName val="Dapsone4"/>
      <sheetName val="Dichloroacetate3"/>
    </sheetNames>
    <sheetDataSet>
      <sheetData sheetId="0">
        <row r="20">
          <cell r="I20">
            <v>10.770833333333334</v>
          </cell>
          <cell r="J20">
            <v>24.583333333333332</v>
          </cell>
          <cell r="L20">
            <v>3.435</v>
          </cell>
        </row>
      </sheetData>
      <sheetData sheetId="1">
        <row r="10">
          <cell r="F10">
            <v>24.615384615384617</v>
          </cell>
          <cell r="G10">
            <v>17.8</v>
          </cell>
          <cell r="H10">
            <v>1.06</v>
          </cell>
        </row>
      </sheetData>
      <sheetData sheetId="2">
        <row r="27">
          <cell r="D27">
            <v>0.5650000000000001</v>
          </cell>
          <cell r="F27">
            <v>16.714285714285715</v>
          </cell>
          <cell r="G27">
            <v>25</v>
          </cell>
        </row>
      </sheetData>
      <sheetData sheetId="3">
        <row r="16">
          <cell r="B16">
            <v>30.25714285714286</v>
          </cell>
          <cell r="D16">
            <v>27.977303070761018</v>
          </cell>
          <cell r="F16">
            <v>1.5327102803738315</v>
          </cell>
        </row>
      </sheetData>
      <sheetData sheetId="4">
        <row r="8">
          <cell r="B8">
            <v>0.75</v>
          </cell>
          <cell r="C8">
            <v>2.3</v>
          </cell>
          <cell r="E8">
            <v>5.333333333333333</v>
          </cell>
          <cell r="G8">
            <v>5.673913043478261</v>
          </cell>
          <cell r="I8">
            <v>1.6956521739130435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ichloroethanol"/>
      <sheetName val="Trichloroethanol2"/>
    </sheetNames>
    <sheetDataSet>
      <sheetData sheetId="0">
        <row r="33">
          <cell r="B33">
            <v>39.82</v>
          </cell>
        </row>
        <row r="53">
          <cell r="B53">
            <v>27.8</v>
          </cell>
        </row>
      </sheetData>
      <sheetData sheetId="1">
        <row r="10">
          <cell r="H10">
            <v>10.2</v>
          </cell>
        </row>
        <row r="17">
          <cell r="H17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00390625" style="83" customWidth="1"/>
    <col min="2" max="2" width="29.7109375" style="83" customWidth="1"/>
    <col min="3" max="3" width="23.8515625" style="83" hidden="1" customWidth="1"/>
    <col min="4" max="4" width="11.8515625" style="83" customWidth="1"/>
    <col min="5" max="5" width="18.8515625" style="83" hidden="1" customWidth="1"/>
    <col min="6" max="6" width="11.8515625" style="31" customWidth="1"/>
    <col min="7" max="7" width="10.140625" style="30" customWidth="1"/>
    <col min="8" max="8" width="11.421875" style="31" hidden="1" customWidth="1"/>
    <col min="9" max="9" width="14.00390625" style="30" customWidth="1"/>
    <col min="10" max="10" width="14.00390625" style="30" hidden="1" customWidth="1"/>
    <col min="11" max="11" width="13.421875" style="31" hidden="1" customWidth="1"/>
    <col min="12" max="12" width="7.8515625" style="30" hidden="1" customWidth="1"/>
    <col min="13" max="13" width="8.7109375" style="30" customWidth="1"/>
    <col min="14" max="14" width="20.140625" style="84" customWidth="1"/>
    <col min="15" max="15" width="13.00390625" style="76" customWidth="1"/>
    <col min="16" max="16" width="32.00390625" style="31" customWidth="1"/>
    <col min="17" max="17" width="10.28125" style="30" customWidth="1"/>
    <col min="18" max="18" width="20.7109375" style="31" customWidth="1"/>
    <col min="19" max="19" width="21.00390625" style="31" customWidth="1"/>
    <col min="20" max="20" width="19.7109375" style="31" customWidth="1"/>
    <col min="21" max="21" width="14.00390625" style="31" customWidth="1"/>
    <col min="22" max="22" width="30.140625" style="31" customWidth="1"/>
    <col min="23" max="23" width="28.28125" style="31" customWidth="1"/>
    <col min="24" max="26" width="11.421875" style="31" customWidth="1"/>
    <col min="27" max="27" width="17.7109375" style="32" customWidth="1"/>
    <col min="28" max="16384" width="11.421875" style="31" customWidth="1"/>
  </cols>
  <sheetData>
    <row r="1" spans="1:23" s="7" customFormat="1" ht="42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6"/>
      <c r="U1" s="8" t="s">
        <v>16</v>
      </c>
      <c r="V1" s="3" t="s">
        <v>17</v>
      </c>
      <c r="W1" s="3"/>
    </row>
    <row r="2" spans="1:27" s="20" customFormat="1" ht="12.75">
      <c r="A2" s="9" t="s">
        <v>18</v>
      </c>
      <c r="B2" s="10" t="s">
        <v>19</v>
      </c>
      <c r="C2" s="10" t="s">
        <v>20</v>
      </c>
      <c r="D2" s="9" t="s">
        <v>21</v>
      </c>
      <c r="E2" s="9" t="s">
        <v>21</v>
      </c>
      <c r="F2" s="11" t="s">
        <v>22</v>
      </c>
      <c r="G2" s="12">
        <v>1.7909090909090912</v>
      </c>
      <c r="H2" s="13">
        <f aca="true" t="shared" si="0" ref="H2:H16">LOG(G2)</f>
        <v>0.253073541003368</v>
      </c>
      <c r="I2" s="12">
        <v>0.5530531336092777</v>
      </c>
      <c r="J2" s="14">
        <f aca="true" t="shared" si="1" ref="J2:J65">(I2*(M2^0.5))/G2</f>
        <v>1.0242115262149716</v>
      </c>
      <c r="K2" s="12">
        <f aca="true" t="shared" si="2" ref="K2:K65">(G2/I2)^2</f>
        <v>10.48608484193461</v>
      </c>
      <c r="L2" s="12">
        <f aca="true" t="shared" si="3" ref="L2:L61">M2^0.5</f>
        <v>3.3166247903554</v>
      </c>
      <c r="M2" s="15">
        <v>11</v>
      </c>
      <c r="N2" s="16" t="s">
        <v>23</v>
      </c>
      <c r="O2" s="17" t="s">
        <v>24</v>
      </c>
      <c r="P2" s="11" t="s">
        <v>25</v>
      </c>
      <c r="Q2" s="18"/>
      <c r="R2" s="19"/>
      <c r="S2" s="19"/>
      <c r="T2" s="19"/>
      <c r="U2" s="20" t="s">
        <v>26</v>
      </c>
      <c r="V2" s="11" t="s">
        <v>18</v>
      </c>
      <c r="W2" s="11"/>
      <c r="X2" s="19"/>
      <c r="Y2" s="19"/>
      <c r="Z2" s="19"/>
      <c r="AA2" s="19"/>
    </row>
    <row r="3" spans="1:27" s="32" customFormat="1" ht="12.75">
      <c r="A3" s="21" t="s">
        <v>18</v>
      </c>
      <c r="B3" s="22" t="s">
        <v>19</v>
      </c>
      <c r="C3" s="22" t="s">
        <v>20</v>
      </c>
      <c r="D3" s="21" t="s">
        <v>21</v>
      </c>
      <c r="E3" s="21" t="s">
        <v>21</v>
      </c>
      <c r="F3" s="23" t="s">
        <v>22</v>
      </c>
      <c r="G3" s="24">
        <v>2.783333333333333</v>
      </c>
      <c r="H3" s="25">
        <f t="shared" si="0"/>
        <v>0.4445652207639396</v>
      </c>
      <c r="I3" s="24">
        <v>0.445034330760623</v>
      </c>
      <c r="J3" s="26">
        <f t="shared" si="1"/>
        <v>0.6783667397065583</v>
      </c>
      <c r="K3" s="24">
        <f t="shared" si="2"/>
        <v>39.11500701262271</v>
      </c>
      <c r="L3" s="24">
        <f t="shared" si="3"/>
        <v>4.242640687119285</v>
      </c>
      <c r="M3" s="27">
        <v>18</v>
      </c>
      <c r="N3" s="28" t="s">
        <v>27</v>
      </c>
      <c r="O3" s="29" t="s">
        <v>24</v>
      </c>
      <c r="P3" s="23" t="s">
        <v>28</v>
      </c>
      <c r="Q3" s="30"/>
      <c r="R3" s="31"/>
      <c r="S3" s="31"/>
      <c r="T3" s="31"/>
      <c r="U3" s="32" t="s">
        <v>26</v>
      </c>
      <c r="V3" s="23" t="s">
        <v>18</v>
      </c>
      <c r="W3" s="23"/>
      <c r="X3" s="31"/>
      <c r="Y3" s="31"/>
      <c r="Z3" s="31"/>
      <c r="AA3" s="31"/>
    </row>
    <row r="4" spans="1:27" s="32" customFormat="1" ht="12.75">
      <c r="A4" s="21" t="s">
        <v>18</v>
      </c>
      <c r="B4" s="22" t="s">
        <v>19</v>
      </c>
      <c r="C4" s="22" t="s">
        <v>20</v>
      </c>
      <c r="D4" s="21" t="s">
        <v>21</v>
      </c>
      <c r="E4" s="21" t="s">
        <v>21</v>
      </c>
      <c r="F4" s="23" t="s">
        <v>22</v>
      </c>
      <c r="G4" s="24">
        <v>4.725</v>
      </c>
      <c r="H4" s="25">
        <f t="shared" si="0"/>
        <v>0.6744018128452817</v>
      </c>
      <c r="I4" s="24">
        <v>0.615209023712382</v>
      </c>
      <c r="J4" s="26">
        <f t="shared" si="1"/>
        <v>0.3682696063612113</v>
      </c>
      <c r="K4" s="24">
        <f t="shared" si="2"/>
        <v>58.98726114649692</v>
      </c>
      <c r="L4" s="24">
        <f t="shared" si="3"/>
        <v>2.8284271247461903</v>
      </c>
      <c r="M4" s="33">
        <v>8</v>
      </c>
      <c r="N4" s="34" t="s">
        <v>29</v>
      </c>
      <c r="O4" s="35">
        <v>5.4</v>
      </c>
      <c r="P4" s="23" t="s">
        <v>30</v>
      </c>
      <c r="Q4" s="30"/>
      <c r="R4" s="31"/>
      <c r="S4" s="31"/>
      <c r="T4" s="31"/>
      <c r="U4" s="32" t="s">
        <v>31</v>
      </c>
      <c r="V4" s="23" t="s">
        <v>18</v>
      </c>
      <c r="W4" s="23"/>
      <c r="X4" s="31"/>
      <c r="Y4" s="31"/>
      <c r="Z4" s="31"/>
      <c r="AA4" s="31"/>
    </row>
    <row r="5" spans="1:27" s="32" customFormat="1" ht="12.75">
      <c r="A5" s="21" t="s">
        <v>18</v>
      </c>
      <c r="B5" s="22" t="s">
        <v>19</v>
      </c>
      <c r="C5" s="22" t="s">
        <v>20</v>
      </c>
      <c r="D5" s="21" t="s">
        <v>21</v>
      </c>
      <c r="E5" s="21" t="s">
        <v>21</v>
      </c>
      <c r="F5" s="23" t="s">
        <v>22</v>
      </c>
      <c r="G5" s="24">
        <v>4.2</v>
      </c>
      <c r="H5" s="25">
        <f t="shared" si="0"/>
        <v>0.6232492903979004</v>
      </c>
      <c r="I5" s="24">
        <v>0.7823042886243178</v>
      </c>
      <c r="J5" s="26">
        <f t="shared" si="1"/>
        <v>0.41649656391752143</v>
      </c>
      <c r="K5" s="24">
        <f t="shared" si="2"/>
        <v>28.82352941176471</v>
      </c>
      <c r="L5" s="24">
        <f t="shared" si="3"/>
        <v>2.23606797749979</v>
      </c>
      <c r="M5" s="33">
        <v>5</v>
      </c>
      <c r="N5" s="36" t="s">
        <v>32</v>
      </c>
      <c r="O5" s="29" t="s">
        <v>33</v>
      </c>
      <c r="P5" s="23" t="s">
        <v>30</v>
      </c>
      <c r="Q5" s="30"/>
      <c r="R5" s="31"/>
      <c r="S5" s="31"/>
      <c r="T5" s="31"/>
      <c r="U5" s="32" t="s">
        <v>31</v>
      </c>
      <c r="V5" s="23" t="s">
        <v>18</v>
      </c>
      <c r="W5" s="23"/>
      <c r="X5" s="31"/>
      <c r="Y5" s="31"/>
      <c r="Z5" s="31"/>
      <c r="AA5" s="31"/>
    </row>
    <row r="6" spans="1:27" s="32" customFormat="1" ht="12.75">
      <c r="A6" s="21" t="s">
        <v>18</v>
      </c>
      <c r="B6" s="22" t="s">
        <v>19</v>
      </c>
      <c r="C6" s="22" t="s">
        <v>20</v>
      </c>
      <c r="D6" s="21" t="s">
        <v>34</v>
      </c>
      <c r="E6" s="21" t="s">
        <v>35</v>
      </c>
      <c r="F6" s="23" t="s">
        <v>36</v>
      </c>
      <c r="G6" s="24">
        <v>8.2</v>
      </c>
      <c r="H6" s="25">
        <f t="shared" si="0"/>
        <v>0.9138138523837167</v>
      </c>
      <c r="I6" s="24">
        <v>1.1931623375033105</v>
      </c>
      <c r="J6" s="26">
        <f t="shared" si="1"/>
        <v>0.482594120424619</v>
      </c>
      <c r="K6" s="24">
        <f t="shared" si="2"/>
        <v>47.23116219667943</v>
      </c>
      <c r="L6" s="24">
        <f t="shared" si="3"/>
        <v>3.3166247903554</v>
      </c>
      <c r="M6" s="27">
        <v>11</v>
      </c>
      <c r="N6" s="28" t="s">
        <v>23</v>
      </c>
      <c r="O6" s="29" t="s">
        <v>24</v>
      </c>
      <c r="P6" s="23" t="s">
        <v>25</v>
      </c>
      <c r="Q6" s="30"/>
      <c r="R6" s="31"/>
      <c r="S6" s="31"/>
      <c r="T6" s="31"/>
      <c r="U6" s="32" t="s">
        <v>26</v>
      </c>
      <c r="V6" s="23" t="s">
        <v>18</v>
      </c>
      <c r="W6" s="23"/>
      <c r="X6" s="31"/>
      <c r="Y6" s="31"/>
      <c r="Z6" s="31"/>
      <c r="AA6" s="31"/>
    </row>
    <row r="7" spans="1:27" s="32" customFormat="1" ht="12.75">
      <c r="A7" s="21" t="s">
        <v>18</v>
      </c>
      <c r="B7" s="22" t="s">
        <v>19</v>
      </c>
      <c r="C7" s="22" t="s">
        <v>20</v>
      </c>
      <c r="D7" s="21" t="s">
        <v>34</v>
      </c>
      <c r="E7" s="21" t="s">
        <v>35</v>
      </c>
      <c r="F7" s="23" t="s">
        <v>36</v>
      </c>
      <c r="G7" s="24">
        <v>4.488888888888889</v>
      </c>
      <c r="H7" s="25">
        <f t="shared" si="0"/>
        <v>0.65213885567128</v>
      </c>
      <c r="I7" s="24">
        <v>0.5301991240195623</v>
      </c>
      <c r="J7" s="26">
        <f t="shared" si="1"/>
        <v>0.5011138461030591</v>
      </c>
      <c r="K7" s="24">
        <f t="shared" si="2"/>
        <v>71.6802810715854</v>
      </c>
      <c r="L7" s="24">
        <f t="shared" si="3"/>
        <v>4.242640687119285</v>
      </c>
      <c r="M7" s="27">
        <v>18</v>
      </c>
      <c r="N7" s="28" t="s">
        <v>27</v>
      </c>
      <c r="O7" s="29" t="s">
        <v>24</v>
      </c>
      <c r="P7" s="23" t="s">
        <v>25</v>
      </c>
      <c r="Q7" s="30"/>
      <c r="R7" s="31"/>
      <c r="S7" s="31"/>
      <c r="T7" s="31"/>
      <c r="U7" s="32" t="s">
        <v>26</v>
      </c>
      <c r="V7" s="23" t="s">
        <v>18</v>
      </c>
      <c r="W7" s="23"/>
      <c r="X7" s="31"/>
      <c r="Y7" s="31"/>
      <c r="Z7" s="31"/>
      <c r="AA7" s="31"/>
    </row>
    <row r="8" spans="1:27" s="32" customFormat="1" ht="12.75">
      <c r="A8" s="21" t="s">
        <v>18</v>
      </c>
      <c r="B8" s="22" t="s">
        <v>19</v>
      </c>
      <c r="C8" s="22" t="s">
        <v>20</v>
      </c>
      <c r="D8" s="21" t="s">
        <v>34</v>
      </c>
      <c r="E8" s="21" t="s">
        <v>35</v>
      </c>
      <c r="F8" s="23" t="s">
        <v>36</v>
      </c>
      <c r="G8" s="24">
        <v>0.6708333333333333</v>
      </c>
      <c r="H8" s="25">
        <f t="shared" si="0"/>
        <v>-0.17338536567975635</v>
      </c>
      <c r="I8" s="24">
        <v>0.053149795800650025</v>
      </c>
      <c r="J8" s="26">
        <f t="shared" si="1"/>
        <v>0.22409489309408157</v>
      </c>
      <c r="K8" s="24">
        <f t="shared" si="2"/>
        <v>159.30377524143975</v>
      </c>
      <c r="L8" s="24">
        <f t="shared" si="3"/>
        <v>2.8284271247461903</v>
      </c>
      <c r="M8" s="33">
        <v>8</v>
      </c>
      <c r="N8" s="34" t="s">
        <v>29</v>
      </c>
      <c r="O8" s="35">
        <v>5.4</v>
      </c>
      <c r="P8" s="23" t="s">
        <v>30</v>
      </c>
      <c r="Q8" s="30"/>
      <c r="R8" s="31"/>
      <c r="S8" s="31"/>
      <c r="T8" s="31"/>
      <c r="U8" s="32" t="s">
        <v>31</v>
      </c>
      <c r="V8" s="23" t="s">
        <v>18</v>
      </c>
      <c r="W8" s="23"/>
      <c r="X8" s="31"/>
      <c r="Y8" s="31"/>
      <c r="Z8" s="31"/>
      <c r="AA8" s="31"/>
    </row>
    <row r="9" spans="1:27" s="32" customFormat="1" ht="12.75">
      <c r="A9" s="21" t="s">
        <v>18</v>
      </c>
      <c r="B9" s="22" t="s">
        <v>19</v>
      </c>
      <c r="C9" s="22" t="s">
        <v>20</v>
      </c>
      <c r="D9" s="21" t="s">
        <v>34</v>
      </c>
      <c r="E9" s="21" t="s">
        <v>35</v>
      </c>
      <c r="F9" s="23" t="s">
        <v>36</v>
      </c>
      <c r="G9" s="24">
        <v>1.7533333333333334</v>
      </c>
      <c r="H9" s="25">
        <f t="shared" si="0"/>
        <v>0.24386448943407665</v>
      </c>
      <c r="I9" s="24">
        <v>0.10645812948447543</v>
      </c>
      <c r="J9" s="26">
        <f t="shared" si="1"/>
        <v>0.19200579730726386</v>
      </c>
      <c r="K9" s="24">
        <f t="shared" si="2"/>
        <v>271.2509803921568</v>
      </c>
      <c r="L9" s="24">
        <f t="shared" si="3"/>
        <v>3.1622776601683795</v>
      </c>
      <c r="M9" s="33">
        <v>10</v>
      </c>
      <c r="N9" s="34" t="s">
        <v>37</v>
      </c>
      <c r="O9" s="35"/>
      <c r="P9" s="23" t="s">
        <v>38</v>
      </c>
      <c r="Q9" s="30"/>
      <c r="R9" s="31"/>
      <c r="S9" s="31"/>
      <c r="T9" s="31"/>
      <c r="U9" s="32" t="s">
        <v>31</v>
      </c>
      <c r="V9" s="23" t="s">
        <v>18</v>
      </c>
      <c r="W9" s="23"/>
      <c r="X9" s="31"/>
      <c r="Y9" s="31"/>
      <c r="Z9" s="31"/>
      <c r="AA9" s="31"/>
    </row>
    <row r="10" spans="1:27" s="32" customFormat="1" ht="12.75">
      <c r="A10" s="21" t="s">
        <v>18</v>
      </c>
      <c r="B10" s="22" t="s">
        <v>19</v>
      </c>
      <c r="C10" s="22" t="s">
        <v>20</v>
      </c>
      <c r="D10" s="21" t="s">
        <v>39</v>
      </c>
      <c r="E10" s="21" t="s">
        <v>39</v>
      </c>
      <c r="F10" s="23" t="s">
        <v>40</v>
      </c>
      <c r="G10" s="24">
        <v>0.9090909090909091</v>
      </c>
      <c r="H10" s="25">
        <f t="shared" si="0"/>
        <v>-0.04139268515822506</v>
      </c>
      <c r="I10" s="24">
        <v>0.13514607952107732</v>
      </c>
      <c r="J10" s="26">
        <f t="shared" si="1"/>
        <v>0.493051721424842</v>
      </c>
      <c r="K10" s="24">
        <f t="shared" si="2"/>
        <v>45.24886877828054</v>
      </c>
      <c r="L10" s="24">
        <f t="shared" si="3"/>
        <v>3.3166247903554</v>
      </c>
      <c r="M10" s="27">
        <v>11</v>
      </c>
      <c r="N10" s="28" t="s">
        <v>23</v>
      </c>
      <c r="O10" s="29" t="s">
        <v>24</v>
      </c>
      <c r="P10" s="23" t="s">
        <v>25</v>
      </c>
      <c r="Q10" s="30"/>
      <c r="R10" s="31"/>
      <c r="S10" s="31"/>
      <c r="T10" s="31"/>
      <c r="U10" s="32" t="s">
        <v>26</v>
      </c>
      <c r="V10" s="23" t="s">
        <v>18</v>
      </c>
      <c r="W10" s="23"/>
      <c r="X10" s="31"/>
      <c r="Y10" s="31"/>
      <c r="Z10" s="31"/>
      <c r="AA10" s="31"/>
    </row>
    <row r="11" spans="1:27" s="32" customFormat="1" ht="12.75">
      <c r="A11" s="21" t="s">
        <v>18</v>
      </c>
      <c r="B11" s="22" t="s">
        <v>19</v>
      </c>
      <c r="C11" s="22" t="s">
        <v>20</v>
      </c>
      <c r="D11" s="21" t="s">
        <v>39</v>
      </c>
      <c r="E11" s="21" t="s">
        <v>39</v>
      </c>
      <c r="F11" s="23" t="s">
        <v>40</v>
      </c>
      <c r="G11" s="24">
        <v>0.5833333333333334</v>
      </c>
      <c r="H11" s="25">
        <f t="shared" si="0"/>
        <v>-0.23408320603336796</v>
      </c>
      <c r="I11" s="24">
        <v>0.05471587667664503</v>
      </c>
      <c r="J11" s="26">
        <f t="shared" si="1"/>
        <v>0.3979539507766891</v>
      </c>
      <c r="K11" s="24">
        <f t="shared" si="2"/>
        <v>113.65979381443297</v>
      </c>
      <c r="L11" s="24">
        <f t="shared" si="3"/>
        <v>4.242640687119285</v>
      </c>
      <c r="M11" s="27">
        <v>18</v>
      </c>
      <c r="N11" s="28" t="s">
        <v>27</v>
      </c>
      <c r="O11" s="29" t="s">
        <v>24</v>
      </c>
      <c r="P11" s="23" t="s">
        <v>25</v>
      </c>
      <c r="Q11" s="30"/>
      <c r="R11" s="31"/>
      <c r="S11" s="31"/>
      <c r="T11" s="31"/>
      <c r="U11" s="32" t="s">
        <v>26</v>
      </c>
      <c r="V11" s="23" t="s">
        <v>18</v>
      </c>
      <c r="W11" s="23"/>
      <c r="X11" s="31"/>
      <c r="Y11" s="31"/>
      <c r="Z11" s="31"/>
      <c r="AA11" s="31"/>
    </row>
    <row r="12" spans="1:27" s="32" customFormat="1" ht="12.75">
      <c r="A12" s="21" t="s">
        <v>18</v>
      </c>
      <c r="B12" s="22" t="s">
        <v>19</v>
      </c>
      <c r="C12" s="22" t="s">
        <v>20</v>
      </c>
      <c r="D12" s="21" t="s">
        <v>41</v>
      </c>
      <c r="E12" s="21" t="s">
        <v>39</v>
      </c>
      <c r="F12" s="23" t="s">
        <v>40</v>
      </c>
      <c r="G12" s="24">
        <v>0.1635</v>
      </c>
      <c r="H12" s="25">
        <f t="shared" si="0"/>
        <v>-0.7864822430036951</v>
      </c>
      <c r="I12" s="24">
        <v>0.03901556465968788</v>
      </c>
      <c r="J12" s="26">
        <f t="shared" si="1"/>
        <v>0.674939947221713</v>
      </c>
      <c r="K12" s="24">
        <f t="shared" si="2"/>
        <v>17.561423677912813</v>
      </c>
      <c r="L12" s="24">
        <f t="shared" si="3"/>
        <v>2.8284271247461903</v>
      </c>
      <c r="M12" s="27">
        <v>8</v>
      </c>
      <c r="N12" s="34" t="s">
        <v>29</v>
      </c>
      <c r="O12" s="35">
        <v>5.4</v>
      </c>
      <c r="P12" s="23" t="s">
        <v>30</v>
      </c>
      <c r="Q12" s="30"/>
      <c r="R12" s="31"/>
      <c r="S12" s="31"/>
      <c r="T12" s="31"/>
      <c r="U12" s="32" t="s">
        <v>31</v>
      </c>
      <c r="V12" s="23" t="s">
        <v>18</v>
      </c>
      <c r="W12" s="23"/>
      <c r="X12" s="31"/>
      <c r="Y12" s="31"/>
      <c r="Z12" s="31"/>
      <c r="AA12" s="31"/>
    </row>
    <row r="13" spans="1:27" s="32" customFormat="1" ht="12.75">
      <c r="A13" s="21" t="s">
        <v>18</v>
      </c>
      <c r="B13" s="22" t="s">
        <v>19</v>
      </c>
      <c r="C13" s="22" t="s">
        <v>20</v>
      </c>
      <c r="D13" s="21" t="s">
        <v>41</v>
      </c>
      <c r="E13" s="21" t="s">
        <v>39</v>
      </c>
      <c r="F13" s="23" t="s">
        <v>40</v>
      </c>
      <c r="G13" s="24">
        <v>0.3758624067290734</v>
      </c>
      <c r="H13" s="25">
        <f t="shared" si="0"/>
        <v>-0.4249711096854243</v>
      </c>
      <c r="I13" s="24">
        <v>0.03686054975837174</v>
      </c>
      <c r="J13" s="26">
        <f t="shared" si="1"/>
        <v>0.3101222440861032</v>
      </c>
      <c r="K13" s="24">
        <f t="shared" si="2"/>
        <v>103.97625335418054</v>
      </c>
      <c r="L13" s="24">
        <f t="shared" si="3"/>
        <v>3.1622776601683795</v>
      </c>
      <c r="M13" s="33">
        <v>10</v>
      </c>
      <c r="N13" s="34" t="s">
        <v>37</v>
      </c>
      <c r="O13" s="35"/>
      <c r="P13" s="23" t="s">
        <v>38</v>
      </c>
      <c r="Q13" s="30"/>
      <c r="R13" s="31"/>
      <c r="S13" s="31"/>
      <c r="T13" s="31"/>
      <c r="U13" s="32" t="s">
        <v>31</v>
      </c>
      <c r="V13" s="23" t="s">
        <v>18</v>
      </c>
      <c r="W13" s="23"/>
      <c r="X13" s="31"/>
      <c r="Y13" s="31"/>
      <c r="Z13" s="31"/>
      <c r="AA13" s="31"/>
    </row>
    <row r="14" spans="1:27" ht="12.75">
      <c r="A14" s="21" t="s">
        <v>42</v>
      </c>
      <c r="B14" s="22" t="s">
        <v>43</v>
      </c>
      <c r="C14" s="22" t="s">
        <v>44</v>
      </c>
      <c r="D14" s="21" t="s">
        <v>34</v>
      </c>
      <c r="E14" s="21" t="s">
        <v>35</v>
      </c>
      <c r="F14" s="23" t="s">
        <v>36</v>
      </c>
      <c r="G14" s="29">
        <v>38.99125</v>
      </c>
      <c r="H14" s="25">
        <f t="shared" si="0"/>
        <v>1.5909671582298048</v>
      </c>
      <c r="I14" s="29">
        <v>4.886060506869079</v>
      </c>
      <c r="J14" s="26">
        <f t="shared" si="1"/>
        <v>0.3544350609631551</v>
      </c>
      <c r="K14" s="24">
        <f t="shared" si="2"/>
        <v>63.68199127078114</v>
      </c>
      <c r="L14" s="24">
        <f t="shared" si="3"/>
        <v>2.8284271247461903</v>
      </c>
      <c r="M14" s="27">
        <v>8</v>
      </c>
      <c r="N14" s="34" t="s">
        <v>27</v>
      </c>
      <c r="O14" s="29" t="s">
        <v>24</v>
      </c>
      <c r="P14" s="23" t="s">
        <v>45</v>
      </c>
      <c r="U14" s="32" t="s">
        <v>31</v>
      </c>
      <c r="V14" s="23" t="s">
        <v>42</v>
      </c>
      <c r="W14" s="23"/>
      <c r="AA14" s="31"/>
    </row>
    <row r="15" spans="1:27" ht="12.75">
      <c r="A15" s="21" t="s">
        <v>42</v>
      </c>
      <c r="B15" s="22" t="s">
        <v>43</v>
      </c>
      <c r="C15" s="22" t="s">
        <v>44</v>
      </c>
      <c r="D15" s="21" t="s">
        <v>34</v>
      </c>
      <c r="E15" s="21" t="s">
        <v>35</v>
      </c>
      <c r="F15" s="23" t="s">
        <v>36</v>
      </c>
      <c r="G15" s="29">
        <v>15.825</v>
      </c>
      <c r="H15" s="25">
        <f t="shared" si="0"/>
        <v>1.1993437186893927</v>
      </c>
      <c r="I15" s="29">
        <v>1.7078683455449046</v>
      </c>
      <c r="J15" s="26">
        <f t="shared" si="1"/>
        <v>0.3052499939358362</v>
      </c>
      <c r="K15" s="24">
        <f t="shared" si="2"/>
        <v>85.85758312640489</v>
      </c>
      <c r="L15" s="24">
        <f t="shared" si="3"/>
        <v>2.8284271247461903</v>
      </c>
      <c r="M15" s="27">
        <v>8</v>
      </c>
      <c r="N15" s="34" t="s">
        <v>46</v>
      </c>
      <c r="O15" s="29"/>
      <c r="P15" s="23" t="s">
        <v>45</v>
      </c>
      <c r="U15" s="32" t="s">
        <v>31</v>
      </c>
      <c r="V15" s="23" t="s">
        <v>42</v>
      </c>
      <c r="W15" s="23"/>
      <c r="AA15" s="31"/>
    </row>
    <row r="16" spans="1:27" ht="12.75">
      <c r="A16" s="21" t="s">
        <v>47</v>
      </c>
      <c r="B16" s="22" t="s">
        <v>48</v>
      </c>
      <c r="C16" s="22" t="s">
        <v>48</v>
      </c>
      <c r="D16" s="21" t="s">
        <v>35</v>
      </c>
      <c r="E16" s="21" t="s">
        <v>35</v>
      </c>
      <c r="F16" s="23" t="s">
        <v>36</v>
      </c>
      <c r="G16" s="29">
        <v>3.5</v>
      </c>
      <c r="H16" s="25">
        <f t="shared" si="0"/>
        <v>0.5440680443502757</v>
      </c>
      <c r="I16" s="29">
        <v>0.37</v>
      </c>
      <c r="J16" s="26">
        <f t="shared" si="1"/>
        <v>0.3171428571428571</v>
      </c>
      <c r="K16" s="24">
        <f t="shared" si="2"/>
        <v>89.48137326515705</v>
      </c>
      <c r="L16" s="24">
        <f t="shared" si="3"/>
        <v>3</v>
      </c>
      <c r="M16" s="27">
        <v>9</v>
      </c>
      <c r="N16" s="28" t="s">
        <v>49</v>
      </c>
      <c r="O16" s="29"/>
      <c r="P16" s="23" t="s">
        <v>50</v>
      </c>
      <c r="U16" s="32" t="s">
        <v>51</v>
      </c>
      <c r="V16" s="23"/>
      <c r="W16" s="23"/>
      <c r="AA16" s="31"/>
    </row>
    <row r="17" spans="1:27" ht="12.75">
      <c r="A17" s="21" t="s">
        <v>47</v>
      </c>
      <c r="B17" s="22" t="s">
        <v>48</v>
      </c>
      <c r="C17" s="22" t="s">
        <v>48</v>
      </c>
      <c r="D17" s="21" t="s">
        <v>35</v>
      </c>
      <c r="E17" s="21" t="s">
        <v>35</v>
      </c>
      <c r="F17" s="23" t="s">
        <v>36</v>
      </c>
      <c r="G17" s="29">
        <v>2</v>
      </c>
      <c r="H17" s="25">
        <f>LOG(G17)</f>
        <v>0.3010299956639812</v>
      </c>
      <c r="I17" s="29">
        <v>0.21</v>
      </c>
      <c r="J17" s="26">
        <f t="shared" si="1"/>
        <v>0.29698484809834996</v>
      </c>
      <c r="K17" s="24">
        <f t="shared" si="2"/>
        <v>90.70294784580499</v>
      </c>
      <c r="L17" s="24">
        <f t="shared" si="3"/>
        <v>2.8284271247461903</v>
      </c>
      <c r="M17" s="27">
        <v>8</v>
      </c>
      <c r="N17" s="28" t="s">
        <v>52</v>
      </c>
      <c r="O17" s="29"/>
      <c r="P17" s="23" t="s">
        <v>50</v>
      </c>
      <c r="U17" s="32" t="s">
        <v>51</v>
      </c>
      <c r="V17" s="23"/>
      <c r="W17" s="23"/>
      <c r="AA17" s="31"/>
    </row>
    <row r="18" spans="1:27" ht="12.75">
      <c r="A18" s="21" t="s">
        <v>47</v>
      </c>
      <c r="B18" s="22" t="s">
        <v>48</v>
      </c>
      <c r="C18" s="22" t="s">
        <v>48</v>
      </c>
      <c r="D18" s="21" t="s">
        <v>35</v>
      </c>
      <c r="E18" s="21" t="s">
        <v>35</v>
      </c>
      <c r="F18" s="23" t="s">
        <v>36</v>
      </c>
      <c r="G18" s="29">
        <v>1.7</v>
      </c>
      <c r="H18" s="25">
        <f>LOG(G18)</f>
        <v>0.2304489213782739</v>
      </c>
      <c r="I18" s="29">
        <v>0.33</v>
      </c>
      <c r="J18" s="26">
        <f t="shared" si="1"/>
        <v>0.4754891853637934</v>
      </c>
      <c r="K18" s="24">
        <f t="shared" si="2"/>
        <v>26.538108356290174</v>
      </c>
      <c r="L18" s="24">
        <f t="shared" si="3"/>
        <v>2.449489742783178</v>
      </c>
      <c r="M18" s="27">
        <v>6</v>
      </c>
      <c r="N18" s="28" t="s">
        <v>53</v>
      </c>
      <c r="O18" s="29"/>
      <c r="P18" s="23" t="s">
        <v>50</v>
      </c>
      <c r="U18" s="32" t="s">
        <v>51</v>
      </c>
      <c r="V18" s="23"/>
      <c r="W18" s="23"/>
      <c r="AA18" s="31"/>
    </row>
    <row r="19" spans="1:27" ht="12.75">
      <c r="A19" s="21" t="s">
        <v>47</v>
      </c>
      <c r="B19" s="22" t="s">
        <v>48</v>
      </c>
      <c r="C19" s="22" t="s">
        <v>48</v>
      </c>
      <c r="D19" s="21" t="s">
        <v>35</v>
      </c>
      <c r="E19" s="21" t="s">
        <v>35</v>
      </c>
      <c r="F19" s="23" t="s">
        <v>36</v>
      </c>
      <c r="G19" s="29">
        <v>1.6</v>
      </c>
      <c r="H19" s="25">
        <f>LOG(G19)</f>
        <v>0.2041199826559248</v>
      </c>
      <c r="I19" s="29">
        <v>0.1</v>
      </c>
      <c r="J19" s="26">
        <f t="shared" si="1"/>
        <v>0.18750000000000003</v>
      </c>
      <c r="K19" s="24">
        <f t="shared" si="2"/>
        <v>256</v>
      </c>
      <c r="L19" s="24">
        <f t="shared" si="3"/>
        <v>3</v>
      </c>
      <c r="M19" s="27">
        <v>9</v>
      </c>
      <c r="N19" s="28" t="s">
        <v>54</v>
      </c>
      <c r="O19" s="29"/>
      <c r="P19" s="23" t="s">
        <v>50</v>
      </c>
      <c r="U19" s="32" t="s">
        <v>51</v>
      </c>
      <c r="V19" s="23"/>
      <c r="W19" s="23"/>
      <c r="AA19" s="31"/>
    </row>
    <row r="20" spans="1:27" ht="12.75">
      <c r="A20" s="21" t="s">
        <v>47</v>
      </c>
      <c r="B20" s="22" t="s">
        <v>48</v>
      </c>
      <c r="C20" s="22" t="s">
        <v>48</v>
      </c>
      <c r="D20" s="21" t="s">
        <v>35</v>
      </c>
      <c r="E20" s="21" t="s">
        <v>35</v>
      </c>
      <c r="F20" s="23" t="s">
        <v>36</v>
      </c>
      <c r="G20" s="27">
        <v>1.3</v>
      </c>
      <c r="H20" s="25">
        <f>LOG(G20)</f>
        <v>0.11394335230683679</v>
      </c>
      <c r="I20" s="24">
        <f>0.1/(M20^0.5)</f>
        <v>0.035355339059327376</v>
      </c>
      <c r="J20" s="26">
        <f t="shared" si="1"/>
        <v>0.07692307692307693</v>
      </c>
      <c r="K20" s="24">
        <f t="shared" si="2"/>
        <v>1352</v>
      </c>
      <c r="L20" s="24">
        <f t="shared" si="3"/>
        <v>2.8284271247461903</v>
      </c>
      <c r="M20" s="27">
        <v>8</v>
      </c>
      <c r="N20" s="28" t="s">
        <v>55</v>
      </c>
      <c r="O20" s="29"/>
      <c r="P20" s="23" t="s">
        <v>50</v>
      </c>
      <c r="U20" s="32" t="s">
        <v>51</v>
      </c>
      <c r="V20" s="23"/>
      <c r="W20" s="23"/>
      <c r="AA20" s="31"/>
    </row>
    <row r="21" spans="1:27" ht="12.75">
      <c r="A21" s="21" t="s">
        <v>56</v>
      </c>
      <c r="B21" s="22" t="s">
        <v>57</v>
      </c>
      <c r="C21" s="22" t="s">
        <v>57</v>
      </c>
      <c r="D21" s="21" t="s">
        <v>21</v>
      </c>
      <c r="E21" s="21" t="s">
        <v>21</v>
      </c>
      <c r="F21" s="23" t="s">
        <v>22</v>
      </c>
      <c r="G21" s="24">
        <v>1.04</v>
      </c>
      <c r="H21" s="25">
        <f>LOG(G21)</f>
        <v>0.01703333929878037</v>
      </c>
      <c r="I21" s="24">
        <v>0.11959753939179292</v>
      </c>
      <c r="J21" s="26">
        <f t="shared" si="1"/>
        <v>0.3252624273737001</v>
      </c>
      <c r="K21" s="24">
        <f t="shared" si="2"/>
        <v>75.61747815230946</v>
      </c>
      <c r="L21" s="24">
        <f t="shared" si="3"/>
        <v>2.8284271247461903</v>
      </c>
      <c r="M21" s="27">
        <v>8</v>
      </c>
      <c r="N21" s="34" t="s">
        <v>58</v>
      </c>
      <c r="O21" s="35">
        <v>10.2</v>
      </c>
      <c r="P21" s="23" t="s">
        <v>59</v>
      </c>
      <c r="U21" s="32" t="s">
        <v>31</v>
      </c>
      <c r="V21" s="23" t="s">
        <v>56</v>
      </c>
      <c r="W21" s="23"/>
      <c r="AA21" s="31"/>
    </row>
    <row r="22" spans="1:27" ht="12.75">
      <c r="A22" s="21" t="s">
        <v>56</v>
      </c>
      <c r="B22" s="22" t="s">
        <v>57</v>
      </c>
      <c r="C22" s="22" t="s">
        <v>57</v>
      </c>
      <c r="D22" s="21" t="s">
        <v>21</v>
      </c>
      <c r="E22" s="21" t="s">
        <v>21</v>
      </c>
      <c r="F22" s="23" t="s">
        <v>22</v>
      </c>
      <c r="G22" s="24">
        <v>0.71</v>
      </c>
      <c r="H22" s="25">
        <f aca="true" t="shared" si="4" ref="H22:H48">LOG(G22)</f>
        <v>-0.14874165128092473</v>
      </c>
      <c r="I22" s="24">
        <v>0.09116529554118236</v>
      </c>
      <c r="J22" s="26">
        <f t="shared" si="1"/>
        <v>0.3852054741176719</v>
      </c>
      <c r="K22" s="24">
        <f t="shared" si="2"/>
        <v>60.653743315507924</v>
      </c>
      <c r="L22" s="24">
        <f t="shared" si="3"/>
        <v>3</v>
      </c>
      <c r="M22" s="27">
        <v>9</v>
      </c>
      <c r="N22" s="34" t="s">
        <v>46</v>
      </c>
      <c r="O22" s="35"/>
      <c r="P22" s="23" t="s">
        <v>59</v>
      </c>
      <c r="U22" s="32" t="s">
        <v>31</v>
      </c>
      <c r="V22" s="23" t="s">
        <v>56</v>
      </c>
      <c r="W22" s="23"/>
      <c r="AA22" s="31"/>
    </row>
    <row r="23" spans="1:27" ht="12.75">
      <c r="A23" s="21" t="s">
        <v>56</v>
      </c>
      <c r="B23" s="22" t="s">
        <v>57</v>
      </c>
      <c r="C23" s="22" t="s">
        <v>57</v>
      </c>
      <c r="D23" s="21" t="s">
        <v>34</v>
      </c>
      <c r="E23" s="21" t="s">
        <v>35</v>
      </c>
      <c r="F23" s="23" t="s">
        <v>36</v>
      </c>
      <c r="G23" s="29">
        <v>8.98625</v>
      </c>
      <c r="H23" s="25">
        <f t="shared" si="4"/>
        <v>0.9535784966195915</v>
      </c>
      <c r="I23" s="29">
        <v>1.0415269311036954</v>
      </c>
      <c r="J23" s="26">
        <f t="shared" si="1"/>
        <v>0.32782117380301556</v>
      </c>
      <c r="K23" s="24">
        <f t="shared" si="2"/>
        <v>74.44164902021856</v>
      </c>
      <c r="L23" s="24">
        <f t="shared" si="3"/>
        <v>2.8284271247461903</v>
      </c>
      <c r="M23" s="27">
        <v>8</v>
      </c>
      <c r="N23" s="34" t="s">
        <v>58</v>
      </c>
      <c r="O23" s="35">
        <v>10.2</v>
      </c>
      <c r="P23" s="23" t="s">
        <v>59</v>
      </c>
      <c r="U23" s="32" t="s">
        <v>31</v>
      </c>
      <c r="V23" s="23" t="s">
        <v>56</v>
      </c>
      <c r="W23" s="23"/>
      <c r="AA23" s="31"/>
    </row>
    <row r="24" spans="1:27" ht="12.75">
      <c r="A24" s="21" t="s">
        <v>56</v>
      </c>
      <c r="B24" s="22" t="s">
        <v>57</v>
      </c>
      <c r="C24" s="22" t="s">
        <v>57</v>
      </c>
      <c r="D24" s="21" t="s">
        <v>34</v>
      </c>
      <c r="E24" s="21" t="s">
        <v>35</v>
      </c>
      <c r="F24" s="23" t="s">
        <v>36</v>
      </c>
      <c r="G24" s="29">
        <v>12.998888888888889</v>
      </c>
      <c r="H24" s="25">
        <f t="shared" si="4"/>
        <v>1.113906231533969</v>
      </c>
      <c r="I24" s="29">
        <v>1.2675812974634078</v>
      </c>
      <c r="J24" s="26">
        <f t="shared" si="1"/>
        <v>0.2925437646936662</v>
      </c>
      <c r="K24" s="24">
        <f t="shared" si="2"/>
        <v>105.16247956649244</v>
      </c>
      <c r="L24" s="24">
        <f t="shared" si="3"/>
        <v>3</v>
      </c>
      <c r="M24" s="27">
        <v>9</v>
      </c>
      <c r="N24" s="34" t="s">
        <v>46</v>
      </c>
      <c r="O24" s="35"/>
      <c r="P24" s="23" t="s">
        <v>59</v>
      </c>
      <c r="U24" s="32" t="s">
        <v>31</v>
      </c>
      <c r="V24" s="23" t="s">
        <v>56</v>
      </c>
      <c r="W24" s="23"/>
      <c r="AA24" s="31"/>
    </row>
    <row r="25" spans="1:27" ht="12.75">
      <c r="A25" s="21" t="s">
        <v>56</v>
      </c>
      <c r="B25" s="22" t="s">
        <v>57</v>
      </c>
      <c r="C25" s="22" t="s">
        <v>57</v>
      </c>
      <c r="D25" s="21" t="s">
        <v>39</v>
      </c>
      <c r="E25" s="21" t="s">
        <v>39</v>
      </c>
      <c r="F25" s="23" t="s">
        <v>40</v>
      </c>
      <c r="G25" s="24">
        <v>0.74875</v>
      </c>
      <c r="H25" s="25">
        <f t="shared" si="4"/>
        <v>-0.1256631646026322</v>
      </c>
      <c r="I25" s="24">
        <v>0.03582883415829846</v>
      </c>
      <c r="J25" s="26">
        <f t="shared" si="1"/>
        <v>0.13534456945758158</v>
      </c>
      <c r="K25" s="24">
        <f t="shared" si="2"/>
        <v>436.7252651712754</v>
      </c>
      <c r="L25" s="24">
        <f t="shared" si="3"/>
        <v>2.8284271247461903</v>
      </c>
      <c r="M25" s="27">
        <v>8</v>
      </c>
      <c r="N25" s="34" t="s">
        <v>58</v>
      </c>
      <c r="O25" s="35">
        <v>10.2</v>
      </c>
      <c r="P25" s="23" t="s">
        <v>59</v>
      </c>
      <c r="U25" s="32" t="s">
        <v>31</v>
      </c>
      <c r="V25" s="23" t="s">
        <v>56</v>
      </c>
      <c r="W25" s="23"/>
      <c r="AA25" s="31"/>
    </row>
    <row r="26" spans="1:27" ht="12.75">
      <c r="A26" s="21" t="s">
        <v>56</v>
      </c>
      <c r="B26" s="22" t="s">
        <v>57</v>
      </c>
      <c r="C26" s="22" t="s">
        <v>57</v>
      </c>
      <c r="D26" s="21" t="s">
        <v>39</v>
      </c>
      <c r="E26" s="21" t="s">
        <v>39</v>
      </c>
      <c r="F26" s="23" t="s">
        <v>40</v>
      </c>
      <c r="G26" s="24">
        <v>0.73</v>
      </c>
      <c r="H26" s="25">
        <f t="shared" si="4"/>
        <v>-0.1366771398795441</v>
      </c>
      <c r="I26" s="24">
        <v>0.030368111930481154</v>
      </c>
      <c r="J26" s="26">
        <f t="shared" si="1"/>
        <v>0.12480045998827871</v>
      </c>
      <c r="K26" s="24">
        <f t="shared" si="2"/>
        <v>577.8433734939699</v>
      </c>
      <c r="L26" s="24">
        <f t="shared" si="3"/>
        <v>3</v>
      </c>
      <c r="M26" s="27">
        <v>9</v>
      </c>
      <c r="N26" s="34" t="s">
        <v>46</v>
      </c>
      <c r="O26" s="35"/>
      <c r="P26" s="23" t="s">
        <v>59</v>
      </c>
      <c r="U26" s="32" t="s">
        <v>31</v>
      </c>
      <c r="V26" s="23" t="s">
        <v>56</v>
      </c>
      <c r="W26" s="23"/>
      <c r="AA26" s="31"/>
    </row>
    <row r="27" spans="1:27" ht="12.75">
      <c r="A27" s="21" t="s">
        <v>60</v>
      </c>
      <c r="B27" s="22" t="s">
        <v>61</v>
      </c>
      <c r="C27" s="22" t="s">
        <v>62</v>
      </c>
      <c r="D27" s="21" t="s">
        <v>63</v>
      </c>
      <c r="E27" s="21" t="s">
        <v>21</v>
      </c>
      <c r="F27" s="23" t="s">
        <v>64</v>
      </c>
      <c r="G27" s="29">
        <v>4.1</v>
      </c>
      <c r="H27" s="25">
        <f t="shared" si="4"/>
        <v>0.6127838567197355</v>
      </c>
      <c r="I27" s="29">
        <v>0.06933333333333333</v>
      </c>
      <c r="J27" s="26">
        <f t="shared" si="1"/>
        <v>0.04474116038223048</v>
      </c>
      <c r="K27" s="24">
        <f t="shared" si="2"/>
        <v>3496.9027366863897</v>
      </c>
      <c r="L27" s="24">
        <f t="shared" si="3"/>
        <v>2.6457513110645907</v>
      </c>
      <c r="M27" s="27">
        <v>7</v>
      </c>
      <c r="N27" s="28" t="s">
        <v>49</v>
      </c>
      <c r="O27" s="29"/>
      <c r="P27" s="23" t="s">
        <v>50</v>
      </c>
      <c r="U27" s="32" t="s">
        <v>51</v>
      </c>
      <c r="V27" s="21"/>
      <c r="W27" s="23"/>
      <c r="AA27" s="31"/>
    </row>
    <row r="28" spans="1:27" ht="12.75">
      <c r="A28" s="21" t="s">
        <v>60</v>
      </c>
      <c r="B28" s="22" t="s">
        <v>61</v>
      </c>
      <c r="C28" s="22" t="s">
        <v>62</v>
      </c>
      <c r="D28" s="21" t="s">
        <v>63</v>
      </c>
      <c r="E28" s="21" t="s">
        <v>21</v>
      </c>
      <c r="F28" s="23" t="s">
        <v>64</v>
      </c>
      <c r="G28" s="29">
        <v>4.466666666666667</v>
      </c>
      <c r="H28" s="25">
        <f t="shared" si="4"/>
        <v>0.6499835436451452</v>
      </c>
      <c r="I28" s="29">
        <v>0.07383333333333333</v>
      </c>
      <c r="J28" s="26">
        <f t="shared" si="1"/>
        <v>0.05227197774084299</v>
      </c>
      <c r="K28" s="24">
        <f t="shared" si="2"/>
        <v>3659.840304918751</v>
      </c>
      <c r="L28" s="24">
        <f t="shared" si="3"/>
        <v>3.1622776601683795</v>
      </c>
      <c r="M28" s="27">
        <v>10</v>
      </c>
      <c r="N28" s="28" t="s">
        <v>52</v>
      </c>
      <c r="O28" s="29"/>
      <c r="P28" s="23" t="s">
        <v>50</v>
      </c>
      <c r="U28" s="32" t="s">
        <v>51</v>
      </c>
      <c r="V28" s="21"/>
      <c r="W28" s="23"/>
      <c r="AA28" s="31"/>
    </row>
    <row r="29" spans="1:27" ht="12.75">
      <c r="A29" s="21" t="s">
        <v>60</v>
      </c>
      <c r="B29" s="22" t="s">
        <v>61</v>
      </c>
      <c r="C29" s="22" t="s">
        <v>62</v>
      </c>
      <c r="D29" s="21" t="s">
        <v>63</v>
      </c>
      <c r="E29" s="21" t="s">
        <v>21</v>
      </c>
      <c r="F29" s="23" t="s">
        <v>64</v>
      </c>
      <c r="G29" s="29">
        <v>5.683333333333334</v>
      </c>
      <c r="H29" s="25">
        <f t="shared" si="4"/>
        <v>0.7546031286088541</v>
      </c>
      <c r="I29" s="29">
        <v>0.26833333333333337</v>
      </c>
      <c r="J29" s="26">
        <f t="shared" si="1"/>
        <v>0.10557388398166163</v>
      </c>
      <c r="K29" s="24">
        <f t="shared" si="2"/>
        <v>448.5976621272327</v>
      </c>
      <c r="L29" s="24">
        <f t="shared" si="3"/>
        <v>2.23606797749979</v>
      </c>
      <c r="M29" s="27">
        <v>5</v>
      </c>
      <c r="N29" s="28" t="s">
        <v>53</v>
      </c>
      <c r="O29" s="29"/>
      <c r="P29" s="23" t="s">
        <v>50</v>
      </c>
      <c r="U29" s="32" t="s">
        <v>51</v>
      </c>
      <c r="V29" s="21"/>
      <c r="W29" s="23"/>
      <c r="AA29" s="31"/>
    </row>
    <row r="30" spans="1:27" ht="12.75">
      <c r="A30" s="21" t="s">
        <v>60</v>
      </c>
      <c r="B30" s="22" t="s">
        <v>61</v>
      </c>
      <c r="C30" s="22" t="s">
        <v>62</v>
      </c>
      <c r="D30" s="21" t="s">
        <v>63</v>
      </c>
      <c r="E30" s="21" t="s">
        <v>21</v>
      </c>
      <c r="F30" s="23" t="s">
        <v>64</v>
      </c>
      <c r="G30" s="29">
        <v>7</v>
      </c>
      <c r="H30" s="25">
        <f t="shared" si="4"/>
        <v>0.8450980400142568</v>
      </c>
      <c r="I30" s="29">
        <v>0.313</v>
      </c>
      <c r="J30" s="26">
        <f t="shared" si="1"/>
        <v>0.0999841824224906</v>
      </c>
      <c r="K30" s="24">
        <f t="shared" si="2"/>
        <v>500.1582133123743</v>
      </c>
      <c r="L30" s="24">
        <f t="shared" si="3"/>
        <v>2.23606797749979</v>
      </c>
      <c r="M30" s="27">
        <v>5</v>
      </c>
      <c r="N30" s="28" t="s">
        <v>65</v>
      </c>
      <c r="O30" s="29"/>
      <c r="P30" s="23" t="s">
        <v>50</v>
      </c>
      <c r="U30" s="32" t="s">
        <v>51</v>
      </c>
      <c r="V30" s="21"/>
      <c r="W30" s="23"/>
      <c r="AA30" s="31"/>
    </row>
    <row r="31" spans="1:27" ht="12.75">
      <c r="A31" s="21" t="s">
        <v>60</v>
      </c>
      <c r="B31" s="22" t="s">
        <v>61</v>
      </c>
      <c r="C31" s="22" t="s">
        <v>62</v>
      </c>
      <c r="D31" s="21" t="s">
        <v>63</v>
      </c>
      <c r="E31" s="21" t="s">
        <v>21</v>
      </c>
      <c r="F31" s="23" t="s">
        <v>64</v>
      </c>
      <c r="G31" s="29">
        <v>7.816666666666666</v>
      </c>
      <c r="H31" s="25">
        <f t="shared" si="4"/>
        <v>0.8930215923314396</v>
      </c>
      <c r="I31" s="29">
        <v>0.328</v>
      </c>
      <c r="J31" s="26">
        <f t="shared" si="1"/>
        <v>0.09382903581491656</v>
      </c>
      <c r="K31" s="24">
        <f t="shared" si="2"/>
        <v>567.9308984400818</v>
      </c>
      <c r="L31" s="24">
        <f t="shared" si="3"/>
        <v>2.23606797749979</v>
      </c>
      <c r="M31" s="27">
        <v>5</v>
      </c>
      <c r="N31" s="28" t="s">
        <v>66</v>
      </c>
      <c r="O31" s="29"/>
      <c r="P31" s="23" t="s">
        <v>50</v>
      </c>
      <c r="U31" s="32" t="s">
        <v>51</v>
      </c>
      <c r="V31" s="21"/>
      <c r="W31" s="23"/>
      <c r="AA31" s="31"/>
    </row>
    <row r="32" spans="1:27" ht="12.75">
      <c r="A32" s="21" t="s">
        <v>60</v>
      </c>
      <c r="B32" s="22" t="s">
        <v>61</v>
      </c>
      <c r="C32" s="22" t="s">
        <v>62</v>
      </c>
      <c r="D32" s="21" t="s">
        <v>63</v>
      </c>
      <c r="E32" s="21" t="s">
        <v>21</v>
      </c>
      <c r="F32" s="23" t="s">
        <v>64</v>
      </c>
      <c r="G32" s="29">
        <v>8.466666666666667</v>
      </c>
      <c r="H32" s="25">
        <f t="shared" si="4"/>
        <v>0.9277124619002757</v>
      </c>
      <c r="I32" s="29">
        <v>0.11666666666666667</v>
      </c>
      <c r="J32" s="26">
        <f t="shared" si="1"/>
        <v>0.05511811023622047</v>
      </c>
      <c r="K32" s="24">
        <f t="shared" si="2"/>
        <v>5266.612244897959</v>
      </c>
      <c r="L32" s="24">
        <f t="shared" si="3"/>
        <v>4</v>
      </c>
      <c r="M32" s="27">
        <v>16</v>
      </c>
      <c r="N32" s="28" t="s">
        <v>67</v>
      </c>
      <c r="O32" s="29"/>
      <c r="P32" s="23" t="s">
        <v>50</v>
      </c>
      <c r="U32" s="32" t="s">
        <v>51</v>
      </c>
      <c r="V32" s="21"/>
      <c r="W32" s="23"/>
      <c r="AA32" s="31"/>
    </row>
    <row r="33" spans="1:27" ht="12.75">
      <c r="A33" s="21" t="s">
        <v>60</v>
      </c>
      <c r="B33" s="22" t="s">
        <v>61</v>
      </c>
      <c r="C33" s="22" t="s">
        <v>62</v>
      </c>
      <c r="D33" s="21" t="s">
        <v>35</v>
      </c>
      <c r="E33" s="21" t="s">
        <v>35</v>
      </c>
      <c r="F33" s="23" t="s">
        <v>36</v>
      </c>
      <c r="G33" s="37">
        <v>0.16</v>
      </c>
      <c r="H33" s="25">
        <f t="shared" si="4"/>
        <v>-0.7958800173440752</v>
      </c>
      <c r="I33" s="37">
        <v>0.005039526306789696</v>
      </c>
      <c r="J33" s="26">
        <f t="shared" si="1"/>
        <v>0.08333333333333333</v>
      </c>
      <c r="K33" s="24">
        <f t="shared" si="2"/>
        <v>1008.0000000000001</v>
      </c>
      <c r="L33" s="24">
        <f t="shared" si="3"/>
        <v>2.6457513110645907</v>
      </c>
      <c r="M33" s="27">
        <v>7</v>
      </c>
      <c r="N33" s="28" t="s">
        <v>49</v>
      </c>
      <c r="O33" s="29"/>
      <c r="P33" s="23" t="s">
        <v>50</v>
      </c>
      <c r="U33" s="32" t="s">
        <v>51</v>
      </c>
      <c r="V33" s="21"/>
      <c r="W33" s="23"/>
      <c r="AA33" s="31"/>
    </row>
    <row r="34" spans="1:27" ht="12.75">
      <c r="A34" s="21" t="s">
        <v>60</v>
      </c>
      <c r="B34" s="22" t="s">
        <v>61</v>
      </c>
      <c r="C34" s="22" t="s">
        <v>62</v>
      </c>
      <c r="D34" s="21" t="s">
        <v>35</v>
      </c>
      <c r="E34" s="21" t="s">
        <v>35</v>
      </c>
      <c r="F34" s="23" t="s">
        <v>36</v>
      </c>
      <c r="G34" s="37">
        <v>0.14833333333333334</v>
      </c>
      <c r="H34" s="25">
        <f t="shared" si="4"/>
        <v>-0.8287612437387308</v>
      </c>
      <c r="I34" s="37">
        <v>0.003162277660168379</v>
      </c>
      <c r="J34" s="26">
        <f t="shared" si="1"/>
        <v>0.06741573033707865</v>
      </c>
      <c r="K34" s="24">
        <f t="shared" si="2"/>
        <v>2200.2777777777787</v>
      </c>
      <c r="L34" s="24">
        <f t="shared" si="3"/>
        <v>3.1622776601683795</v>
      </c>
      <c r="M34" s="27">
        <v>10</v>
      </c>
      <c r="N34" s="28" t="s">
        <v>52</v>
      </c>
      <c r="O34" s="29"/>
      <c r="P34" s="23" t="s">
        <v>50</v>
      </c>
      <c r="U34" s="32" t="s">
        <v>51</v>
      </c>
      <c r="V34" s="21"/>
      <c r="W34" s="23"/>
      <c r="AA34" s="31"/>
    </row>
    <row r="35" spans="1:27" ht="12.75">
      <c r="A35" s="21" t="s">
        <v>60</v>
      </c>
      <c r="B35" s="22" t="s">
        <v>61</v>
      </c>
      <c r="C35" s="22" t="s">
        <v>62</v>
      </c>
      <c r="D35" s="21" t="s">
        <v>35</v>
      </c>
      <c r="E35" s="21" t="s">
        <v>35</v>
      </c>
      <c r="F35" s="23" t="s">
        <v>36</v>
      </c>
      <c r="G35" s="37">
        <v>0.12833333333333333</v>
      </c>
      <c r="H35" s="25">
        <f t="shared" si="4"/>
        <v>-0.8916605252111618</v>
      </c>
      <c r="I35" s="37">
        <v>0.004472135954999579</v>
      </c>
      <c r="J35" s="26">
        <f t="shared" si="1"/>
        <v>0.07792207792207793</v>
      </c>
      <c r="K35" s="24">
        <f t="shared" si="2"/>
        <v>823.4722222222223</v>
      </c>
      <c r="L35" s="24">
        <f t="shared" si="3"/>
        <v>2.23606797749979</v>
      </c>
      <c r="M35" s="27">
        <v>5</v>
      </c>
      <c r="N35" s="28" t="s">
        <v>53</v>
      </c>
      <c r="O35" s="29"/>
      <c r="P35" s="23" t="s">
        <v>50</v>
      </c>
      <c r="U35" s="32" t="s">
        <v>51</v>
      </c>
      <c r="V35" s="21"/>
      <c r="W35" s="23"/>
      <c r="AA35" s="31"/>
    </row>
    <row r="36" spans="1:27" ht="12.75">
      <c r="A36" s="21" t="s">
        <v>60</v>
      </c>
      <c r="B36" s="22" t="s">
        <v>61</v>
      </c>
      <c r="C36" s="22" t="s">
        <v>62</v>
      </c>
      <c r="D36" s="21" t="s">
        <v>35</v>
      </c>
      <c r="E36" s="21" t="s">
        <v>35</v>
      </c>
      <c r="F36" s="23" t="s">
        <v>36</v>
      </c>
      <c r="G36" s="37">
        <v>0.11666666666666667</v>
      </c>
      <c r="H36" s="25">
        <f t="shared" si="4"/>
        <v>-0.9330532103693868</v>
      </c>
      <c r="I36" s="37">
        <v>0.004472135954999579</v>
      </c>
      <c r="J36" s="26">
        <f t="shared" si="1"/>
        <v>0.08571428571428572</v>
      </c>
      <c r="K36" s="24">
        <f t="shared" si="2"/>
        <v>680.5555555555558</v>
      </c>
      <c r="L36" s="24">
        <f t="shared" si="3"/>
        <v>2.23606797749979</v>
      </c>
      <c r="M36" s="27">
        <v>5</v>
      </c>
      <c r="N36" s="28" t="s">
        <v>65</v>
      </c>
      <c r="O36" s="29"/>
      <c r="P36" s="23" t="s">
        <v>50</v>
      </c>
      <c r="U36" s="32" t="s">
        <v>51</v>
      </c>
      <c r="V36" s="21"/>
      <c r="W36" s="23"/>
      <c r="AA36" s="31"/>
    </row>
    <row r="37" spans="1:27" ht="12.75">
      <c r="A37" s="21" t="s">
        <v>60</v>
      </c>
      <c r="B37" s="22" t="s">
        <v>61</v>
      </c>
      <c r="C37" s="22" t="s">
        <v>62</v>
      </c>
      <c r="D37" s="21" t="s">
        <v>35</v>
      </c>
      <c r="E37" s="21" t="s">
        <v>35</v>
      </c>
      <c r="F37" s="23" t="s">
        <v>36</v>
      </c>
      <c r="G37" s="37">
        <v>0.10166666666666666</v>
      </c>
      <c r="H37" s="25">
        <f t="shared" si="4"/>
        <v>-0.9928214153728766</v>
      </c>
      <c r="I37" s="37">
        <v>0.0029814239699997194</v>
      </c>
      <c r="J37" s="26">
        <f t="shared" si="1"/>
        <v>0.06557377049180328</v>
      </c>
      <c r="K37" s="24">
        <f t="shared" si="2"/>
        <v>1162.8125</v>
      </c>
      <c r="L37" s="24">
        <f t="shared" si="3"/>
        <v>2.23606797749979</v>
      </c>
      <c r="M37" s="27">
        <v>5</v>
      </c>
      <c r="N37" s="28" t="s">
        <v>66</v>
      </c>
      <c r="O37" s="29"/>
      <c r="P37" s="23" t="s">
        <v>50</v>
      </c>
      <c r="U37" s="32" t="s">
        <v>51</v>
      </c>
      <c r="V37" s="21"/>
      <c r="W37" s="23"/>
      <c r="AA37" s="31"/>
    </row>
    <row r="38" spans="1:27" ht="12.75">
      <c r="A38" s="21" t="s">
        <v>60</v>
      </c>
      <c r="B38" s="22" t="s">
        <v>61</v>
      </c>
      <c r="C38" s="22" t="s">
        <v>62</v>
      </c>
      <c r="D38" s="21" t="s">
        <v>35</v>
      </c>
      <c r="E38" s="21" t="s">
        <v>35</v>
      </c>
      <c r="F38" s="23" t="s">
        <v>36</v>
      </c>
      <c r="G38" s="37">
        <v>0.09166666666666666</v>
      </c>
      <c r="H38" s="25">
        <f t="shared" si="4"/>
        <v>-1.0377885608893997</v>
      </c>
      <c r="I38" s="37">
        <v>0.0008333333333333334</v>
      </c>
      <c r="J38" s="26">
        <f t="shared" si="1"/>
        <v>0.03636363636363637</v>
      </c>
      <c r="K38" s="24">
        <f t="shared" si="2"/>
        <v>12099.999999999996</v>
      </c>
      <c r="L38" s="24">
        <f t="shared" si="3"/>
        <v>4</v>
      </c>
      <c r="M38" s="27">
        <v>16</v>
      </c>
      <c r="N38" s="28" t="s">
        <v>67</v>
      </c>
      <c r="O38" s="29"/>
      <c r="P38" s="23" t="s">
        <v>50</v>
      </c>
      <c r="U38" s="32" t="s">
        <v>51</v>
      </c>
      <c r="V38" s="21"/>
      <c r="W38" s="23"/>
      <c r="AA38" s="31"/>
    </row>
    <row r="39" spans="1:27" ht="12.75">
      <c r="A39" s="21" t="s">
        <v>60</v>
      </c>
      <c r="B39" s="22" t="s">
        <v>61</v>
      </c>
      <c r="C39" s="22" t="s">
        <v>62</v>
      </c>
      <c r="D39" s="21" t="s">
        <v>39</v>
      </c>
      <c r="E39" s="21" t="s">
        <v>39</v>
      </c>
      <c r="F39" s="23" t="s">
        <v>40</v>
      </c>
      <c r="G39" s="37">
        <v>0.056</v>
      </c>
      <c r="H39" s="25">
        <f t="shared" si="4"/>
        <v>-1.2518119729937995</v>
      </c>
      <c r="I39" s="24" t="s">
        <v>68</v>
      </c>
      <c r="J39" s="26" t="e">
        <f t="shared" si="1"/>
        <v>#VALUE!</v>
      </c>
      <c r="K39" s="24" t="e">
        <f t="shared" si="2"/>
        <v>#VALUE!</v>
      </c>
      <c r="L39" s="24">
        <f t="shared" si="3"/>
        <v>2.6457513110645907</v>
      </c>
      <c r="M39" s="27">
        <v>7</v>
      </c>
      <c r="N39" s="28" t="s">
        <v>49</v>
      </c>
      <c r="O39" s="29"/>
      <c r="P39" s="23" t="s">
        <v>50</v>
      </c>
      <c r="U39" s="32" t="s">
        <v>51</v>
      </c>
      <c r="V39" s="21"/>
      <c r="W39" s="23"/>
      <c r="AA39" s="31"/>
    </row>
    <row r="40" spans="1:27" ht="12.75">
      <c r="A40" s="21" t="s">
        <v>60</v>
      </c>
      <c r="B40" s="22" t="s">
        <v>61</v>
      </c>
      <c r="C40" s="22" t="s">
        <v>62</v>
      </c>
      <c r="D40" s="21" t="s">
        <v>39</v>
      </c>
      <c r="E40" s="21" t="s">
        <v>39</v>
      </c>
      <c r="F40" s="23" t="s">
        <v>40</v>
      </c>
      <c r="G40" s="37">
        <v>0.057</v>
      </c>
      <c r="H40" s="25">
        <f t="shared" si="4"/>
        <v>-1.2441251443275085</v>
      </c>
      <c r="I40" s="24" t="s">
        <v>68</v>
      </c>
      <c r="J40" s="26" t="e">
        <f t="shared" si="1"/>
        <v>#VALUE!</v>
      </c>
      <c r="K40" s="24" t="e">
        <f t="shared" si="2"/>
        <v>#VALUE!</v>
      </c>
      <c r="L40" s="24">
        <f t="shared" si="3"/>
        <v>3.1622776601683795</v>
      </c>
      <c r="M40" s="27">
        <v>10</v>
      </c>
      <c r="N40" s="28" t="s">
        <v>52</v>
      </c>
      <c r="O40" s="29"/>
      <c r="P40" s="23" t="s">
        <v>50</v>
      </c>
      <c r="U40" s="32" t="s">
        <v>51</v>
      </c>
      <c r="V40" s="21"/>
      <c r="W40" s="23"/>
      <c r="AA40" s="31"/>
    </row>
    <row r="41" spans="1:27" ht="12.75">
      <c r="A41" s="21" t="s">
        <v>60</v>
      </c>
      <c r="B41" s="22" t="s">
        <v>61</v>
      </c>
      <c r="C41" s="22" t="s">
        <v>62</v>
      </c>
      <c r="D41" s="21" t="s">
        <v>39</v>
      </c>
      <c r="E41" s="21" t="s">
        <v>39</v>
      </c>
      <c r="F41" s="23" t="s">
        <v>40</v>
      </c>
      <c r="G41" s="37">
        <v>0.061</v>
      </c>
      <c r="H41" s="25">
        <f t="shared" si="4"/>
        <v>-1.214670164989233</v>
      </c>
      <c r="I41" s="24" t="s">
        <v>68</v>
      </c>
      <c r="J41" s="26" t="e">
        <f t="shared" si="1"/>
        <v>#VALUE!</v>
      </c>
      <c r="K41" s="24" t="e">
        <f t="shared" si="2"/>
        <v>#VALUE!</v>
      </c>
      <c r="L41" s="24">
        <f t="shared" si="3"/>
        <v>2.23606797749979</v>
      </c>
      <c r="M41" s="27">
        <v>5</v>
      </c>
      <c r="N41" s="28" t="s">
        <v>53</v>
      </c>
      <c r="O41" s="29"/>
      <c r="P41" s="23" t="s">
        <v>50</v>
      </c>
      <c r="U41" s="32" t="s">
        <v>51</v>
      </c>
      <c r="V41" s="21"/>
      <c r="W41" s="23"/>
      <c r="AA41" s="31"/>
    </row>
    <row r="42" spans="1:27" ht="12.75">
      <c r="A42" s="21" t="s">
        <v>60</v>
      </c>
      <c r="B42" s="22" t="s">
        <v>61</v>
      </c>
      <c r="C42" s="22" t="s">
        <v>62</v>
      </c>
      <c r="D42" s="21" t="s">
        <v>39</v>
      </c>
      <c r="E42" s="21" t="s">
        <v>39</v>
      </c>
      <c r="F42" s="23" t="s">
        <v>40</v>
      </c>
      <c r="G42" s="37">
        <v>0.07</v>
      </c>
      <c r="H42" s="25">
        <f t="shared" si="4"/>
        <v>-1.154901959985743</v>
      </c>
      <c r="I42" s="24" t="s">
        <v>68</v>
      </c>
      <c r="J42" s="26" t="e">
        <f t="shared" si="1"/>
        <v>#VALUE!</v>
      </c>
      <c r="K42" s="24" t="e">
        <f t="shared" si="2"/>
        <v>#VALUE!</v>
      </c>
      <c r="L42" s="24">
        <f t="shared" si="3"/>
        <v>2.23606797749979</v>
      </c>
      <c r="M42" s="27">
        <v>5</v>
      </c>
      <c r="N42" s="28" t="s">
        <v>65</v>
      </c>
      <c r="O42" s="29"/>
      <c r="P42" s="23" t="s">
        <v>50</v>
      </c>
      <c r="U42" s="32" t="s">
        <v>51</v>
      </c>
      <c r="V42" s="21"/>
      <c r="W42" s="23"/>
      <c r="AA42" s="31"/>
    </row>
    <row r="43" spans="1:27" s="32" customFormat="1" ht="12.75">
      <c r="A43" s="21" t="s">
        <v>60</v>
      </c>
      <c r="B43" s="22" t="s">
        <v>61</v>
      </c>
      <c r="C43" s="22" t="s">
        <v>62</v>
      </c>
      <c r="D43" s="21" t="s">
        <v>39</v>
      </c>
      <c r="E43" s="21" t="s">
        <v>39</v>
      </c>
      <c r="F43" s="23" t="s">
        <v>40</v>
      </c>
      <c r="G43" s="37">
        <v>0.068</v>
      </c>
      <c r="H43" s="25">
        <f t="shared" si="4"/>
        <v>-1.1674910872937636</v>
      </c>
      <c r="I43" s="24" t="s">
        <v>68</v>
      </c>
      <c r="J43" s="26" t="e">
        <f t="shared" si="1"/>
        <v>#VALUE!</v>
      </c>
      <c r="K43" s="24" t="e">
        <f t="shared" si="2"/>
        <v>#VALUE!</v>
      </c>
      <c r="L43" s="24">
        <f t="shared" si="3"/>
        <v>2.23606797749979</v>
      </c>
      <c r="M43" s="27">
        <v>5</v>
      </c>
      <c r="N43" s="28" t="s">
        <v>66</v>
      </c>
      <c r="O43" s="29"/>
      <c r="P43" s="23" t="s">
        <v>50</v>
      </c>
      <c r="Q43" s="30"/>
      <c r="R43" s="31"/>
      <c r="S43" s="31"/>
      <c r="T43" s="31"/>
      <c r="U43" s="32" t="s">
        <v>51</v>
      </c>
      <c r="V43" s="21"/>
      <c r="W43" s="23"/>
      <c r="X43" s="31"/>
      <c r="Y43" s="31"/>
      <c r="Z43" s="31"/>
      <c r="AA43" s="31"/>
    </row>
    <row r="44" spans="1:27" ht="12.75">
      <c r="A44" s="21" t="s">
        <v>60</v>
      </c>
      <c r="B44" s="22" t="s">
        <v>61</v>
      </c>
      <c r="C44" s="22" t="s">
        <v>62</v>
      </c>
      <c r="D44" s="21" t="s">
        <v>39</v>
      </c>
      <c r="E44" s="21" t="s">
        <v>39</v>
      </c>
      <c r="F44" s="23" t="s">
        <v>40</v>
      </c>
      <c r="G44" s="37">
        <v>0.068</v>
      </c>
      <c r="H44" s="25">
        <f t="shared" si="4"/>
        <v>-1.1674910872937636</v>
      </c>
      <c r="I44" s="24" t="s">
        <v>68</v>
      </c>
      <c r="J44" s="26" t="e">
        <f t="shared" si="1"/>
        <v>#VALUE!</v>
      </c>
      <c r="K44" s="24" t="e">
        <f t="shared" si="2"/>
        <v>#VALUE!</v>
      </c>
      <c r="L44" s="24">
        <f t="shared" si="3"/>
        <v>4</v>
      </c>
      <c r="M44" s="27">
        <v>16</v>
      </c>
      <c r="N44" s="28" t="s">
        <v>67</v>
      </c>
      <c r="O44" s="29"/>
      <c r="P44" s="23" t="s">
        <v>50</v>
      </c>
      <c r="U44" s="32" t="s">
        <v>51</v>
      </c>
      <c r="V44" s="21"/>
      <c r="W44" s="23"/>
      <c r="AA44" s="31"/>
    </row>
    <row r="45" spans="1:27" ht="12.75">
      <c r="A45" s="21" t="s">
        <v>69</v>
      </c>
      <c r="B45" s="22" t="s">
        <v>70</v>
      </c>
      <c r="C45" s="22" t="s">
        <v>71</v>
      </c>
      <c r="D45" s="21" t="s">
        <v>21</v>
      </c>
      <c r="E45" s="21" t="s">
        <v>21</v>
      </c>
      <c r="F45" s="23" t="s">
        <v>22</v>
      </c>
      <c r="G45" s="35">
        <v>3.6666666666666665</v>
      </c>
      <c r="H45" s="25">
        <f t="shared" si="4"/>
        <v>0.5642714304385625</v>
      </c>
      <c r="I45" s="24" t="s">
        <v>68</v>
      </c>
      <c r="J45" s="26" t="e">
        <f t="shared" si="1"/>
        <v>#VALUE!</v>
      </c>
      <c r="K45" s="24" t="e">
        <f t="shared" si="2"/>
        <v>#VALUE!</v>
      </c>
      <c r="L45" s="24">
        <f t="shared" si="3"/>
        <v>3</v>
      </c>
      <c r="M45" s="38">
        <v>9</v>
      </c>
      <c r="N45" s="28" t="s">
        <v>72</v>
      </c>
      <c r="O45" s="29"/>
      <c r="P45" s="23" t="s">
        <v>73</v>
      </c>
      <c r="U45" s="32" t="s">
        <v>31</v>
      </c>
      <c r="V45" s="23" t="s">
        <v>69</v>
      </c>
      <c r="W45" s="23"/>
      <c r="AA45" s="31"/>
    </row>
    <row r="46" spans="1:27" ht="12.75">
      <c r="A46" s="21" t="s">
        <v>69</v>
      </c>
      <c r="B46" s="22" t="s">
        <v>70</v>
      </c>
      <c r="C46" s="22" t="s">
        <v>71</v>
      </c>
      <c r="D46" s="21" t="s">
        <v>21</v>
      </c>
      <c r="E46" s="21" t="s">
        <v>21</v>
      </c>
      <c r="F46" s="23" t="s">
        <v>22</v>
      </c>
      <c r="G46" s="29">
        <v>7.183333333333333</v>
      </c>
      <c r="H46" s="25">
        <f t="shared" si="4"/>
        <v>0.8563260197770879</v>
      </c>
      <c r="I46" s="29">
        <v>0.9144325391667066</v>
      </c>
      <c r="J46" s="26">
        <f t="shared" si="1"/>
        <v>0.44097734141929096</v>
      </c>
      <c r="K46" s="24">
        <f t="shared" si="2"/>
        <v>61.70902666626386</v>
      </c>
      <c r="L46" s="24">
        <f t="shared" si="3"/>
        <v>3.4641016151377544</v>
      </c>
      <c r="M46" s="38">
        <v>12</v>
      </c>
      <c r="N46" s="28" t="s">
        <v>74</v>
      </c>
      <c r="O46" s="29">
        <v>0.27628205128205124</v>
      </c>
      <c r="P46" s="23" t="s">
        <v>75</v>
      </c>
      <c r="U46" s="32" t="s">
        <v>26</v>
      </c>
      <c r="V46" s="23" t="s">
        <v>69</v>
      </c>
      <c r="W46" s="23"/>
      <c r="AA46" s="31"/>
    </row>
    <row r="47" spans="1:27" ht="12.75">
      <c r="A47" s="21" t="s">
        <v>69</v>
      </c>
      <c r="B47" s="22" t="s">
        <v>70</v>
      </c>
      <c r="C47" s="22" t="s">
        <v>71</v>
      </c>
      <c r="D47" s="21" t="s">
        <v>21</v>
      </c>
      <c r="E47" s="21" t="s">
        <v>21</v>
      </c>
      <c r="F47" s="23" t="s">
        <v>22</v>
      </c>
      <c r="G47" s="29">
        <v>7.666666666666667</v>
      </c>
      <c r="H47" s="25">
        <f t="shared" si="4"/>
        <v>0.8846065812979305</v>
      </c>
      <c r="I47" s="24" t="s">
        <v>68</v>
      </c>
      <c r="J47" s="26" t="e">
        <f t="shared" si="1"/>
        <v>#VALUE!</v>
      </c>
      <c r="K47" s="24" t="e">
        <f t="shared" si="2"/>
        <v>#VALUE!</v>
      </c>
      <c r="L47" s="24">
        <f t="shared" si="3"/>
        <v>3</v>
      </c>
      <c r="M47" s="38">
        <v>9</v>
      </c>
      <c r="N47" s="28" t="s">
        <v>55</v>
      </c>
      <c r="O47" s="29" t="s">
        <v>33</v>
      </c>
      <c r="P47" s="23" t="s">
        <v>73</v>
      </c>
      <c r="U47" s="32" t="s">
        <v>31</v>
      </c>
      <c r="V47" s="23" t="s">
        <v>69</v>
      </c>
      <c r="W47" s="23"/>
      <c r="AA47" s="31"/>
    </row>
    <row r="48" spans="1:27" ht="12.75">
      <c r="A48" s="21" t="s">
        <v>69</v>
      </c>
      <c r="B48" s="22" t="s">
        <v>70</v>
      </c>
      <c r="C48" s="22" t="s">
        <v>71</v>
      </c>
      <c r="D48" s="21" t="s">
        <v>34</v>
      </c>
      <c r="E48" s="21" t="s">
        <v>35</v>
      </c>
      <c r="F48" s="23" t="s">
        <v>36</v>
      </c>
      <c r="G48" s="29">
        <v>7.683333333333334</v>
      </c>
      <c r="H48" s="25">
        <f t="shared" si="4"/>
        <v>0.8855496750060046</v>
      </c>
      <c r="I48" s="29">
        <v>0.6863201538169734</v>
      </c>
      <c r="J48" s="26">
        <f t="shared" si="1"/>
        <v>0.30943376399205674</v>
      </c>
      <c r="K48" s="24">
        <f t="shared" si="2"/>
        <v>125.32734680748392</v>
      </c>
      <c r="L48" s="24">
        <f t="shared" si="3"/>
        <v>3.4641016151377544</v>
      </c>
      <c r="M48" s="27">
        <v>12</v>
      </c>
      <c r="N48" s="28" t="s">
        <v>74</v>
      </c>
      <c r="O48" s="29">
        <v>0.27628205128205124</v>
      </c>
      <c r="P48" s="23" t="s">
        <v>75</v>
      </c>
      <c r="U48" s="32" t="s">
        <v>26</v>
      </c>
      <c r="V48" s="23" t="s">
        <v>69</v>
      </c>
      <c r="W48" s="23"/>
      <c r="AA48" s="31"/>
    </row>
    <row r="49" spans="1:27" s="33" customFormat="1" ht="25.5">
      <c r="A49" s="39" t="s">
        <v>69</v>
      </c>
      <c r="B49" s="39" t="s">
        <v>70</v>
      </c>
      <c r="C49" s="22" t="s">
        <v>71</v>
      </c>
      <c r="D49" s="39" t="s">
        <v>76</v>
      </c>
      <c r="E49" s="21" t="s">
        <v>35</v>
      </c>
      <c r="F49" s="39" t="s">
        <v>36</v>
      </c>
      <c r="G49" s="26">
        <f>'[1]Bupivacaine2'!$I$14</f>
        <v>4.616666666666666</v>
      </c>
      <c r="H49" s="40">
        <f>LOG10(G49)</f>
        <v>0.6643285186808049</v>
      </c>
      <c r="I49" s="41">
        <v>0.557241885107823</v>
      </c>
      <c r="J49" s="26">
        <f t="shared" si="1"/>
        <v>0.29565883360738804</v>
      </c>
      <c r="K49" s="42">
        <f t="shared" si="2"/>
        <v>68.63877624045763</v>
      </c>
      <c r="L49" s="42">
        <f t="shared" si="3"/>
        <v>2.449489742783178</v>
      </c>
      <c r="M49" s="43">
        <v>6</v>
      </c>
      <c r="N49" s="44" t="s">
        <v>77</v>
      </c>
      <c r="O49" s="45" t="s">
        <v>78</v>
      </c>
      <c r="P49" s="39" t="s">
        <v>79</v>
      </c>
      <c r="Q49" s="43"/>
      <c r="R49" s="39" t="s">
        <v>80</v>
      </c>
      <c r="S49" s="39"/>
      <c r="T49" s="32"/>
      <c r="U49" s="32"/>
      <c r="V49" s="32"/>
      <c r="W49" s="32"/>
      <c r="X49" s="32"/>
      <c r="Y49" s="32"/>
      <c r="Z49" s="32"/>
      <c r="AA49" s="32"/>
    </row>
    <row r="50" spans="1:27" ht="12.75">
      <c r="A50" s="21" t="s">
        <v>69</v>
      </c>
      <c r="B50" s="22" t="s">
        <v>70</v>
      </c>
      <c r="C50" s="22" t="s">
        <v>71</v>
      </c>
      <c r="D50" s="21" t="s">
        <v>34</v>
      </c>
      <c r="E50" s="21" t="s">
        <v>35</v>
      </c>
      <c r="F50" s="23" t="s">
        <v>36</v>
      </c>
      <c r="G50" s="29">
        <v>3.646428571428572</v>
      </c>
      <c r="H50" s="25">
        <f aca="true" t="shared" si="5" ref="H50:H61">LOG(G50)</f>
        <v>0.5618677107446911</v>
      </c>
      <c r="I50" s="29">
        <v>0.5424928288814101</v>
      </c>
      <c r="J50" s="26">
        <f t="shared" si="1"/>
        <v>0.5566603762269202</v>
      </c>
      <c r="K50" s="24">
        <f t="shared" si="2"/>
        <v>45.18012395440562</v>
      </c>
      <c r="L50" s="24">
        <f t="shared" si="3"/>
        <v>3.7416573867739413</v>
      </c>
      <c r="M50" s="27">
        <v>14</v>
      </c>
      <c r="N50" s="28" t="s">
        <v>55</v>
      </c>
      <c r="O50" s="29"/>
      <c r="P50" s="23" t="s">
        <v>81</v>
      </c>
      <c r="U50" s="32" t="s">
        <v>32</v>
      </c>
      <c r="V50" s="23" t="s">
        <v>69</v>
      </c>
      <c r="W50" s="23"/>
      <c r="AA50" s="31"/>
    </row>
    <row r="51" spans="1:27" s="32" customFormat="1" ht="12.75">
      <c r="A51" s="22" t="s">
        <v>82</v>
      </c>
      <c r="B51" s="46" t="s">
        <v>83</v>
      </c>
      <c r="C51" s="22" t="s">
        <v>84</v>
      </c>
      <c r="D51" s="22" t="s">
        <v>35</v>
      </c>
      <c r="E51" s="21" t="s">
        <v>35</v>
      </c>
      <c r="F51" s="23" t="s">
        <v>36</v>
      </c>
      <c r="G51" s="47">
        <v>1.9666666666666666</v>
      </c>
      <c r="H51" s="25">
        <f t="shared" si="5"/>
        <v>0.29373075692248174</v>
      </c>
      <c r="I51" s="47">
        <v>0.11666666666666667</v>
      </c>
      <c r="J51" s="26">
        <f t="shared" si="1"/>
        <v>0.2219627263340474</v>
      </c>
      <c r="K51" s="24">
        <f t="shared" si="2"/>
        <v>284.16326530612247</v>
      </c>
      <c r="L51" s="24">
        <f t="shared" si="3"/>
        <v>3.7416573867739413</v>
      </c>
      <c r="M51" s="33">
        <v>14</v>
      </c>
      <c r="N51" s="36" t="s">
        <v>85</v>
      </c>
      <c r="O51" s="35">
        <v>3</v>
      </c>
      <c r="P51" s="32" t="s">
        <v>86</v>
      </c>
      <c r="Q51" s="30"/>
      <c r="R51" s="31"/>
      <c r="S51" s="31"/>
      <c r="T51" s="31"/>
      <c r="U51" s="32" t="s">
        <v>31</v>
      </c>
      <c r="V51" s="32" t="s">
        <v>82</v>
      </c>
      <c r="X51" s="31"/>
      <c r="Y51" s="31"/>
      <c r="Z51" s="31"/>
      <c r="AA51" s="31"/>
    </row>
    <row r="52" spans="1:27" s="32" customFormat="1" ht="12.75">
      <c r="A52" s="22" t="s">
        <v>82</v>
      </c>
      <c r="B52" s="46" t="s">
        <v>83</v>
      </c>
      <c r="C52" s="22" t="s">
        <v>84</v>
      </c>
      <c r="D52" s="22" t="s">
        <v>35</v>
      </c>
      <c r="E52" s="21" t="s">
        <v>35</v>
      </c>
      <c r="F52" s="23" t="s">
        <v>36</v>
      </c>
      <c r="G52" s="47">
        <v>2.3833333333333333</v>
      </c>
      <c r="H52" s="25">
        <f t="shared" si="5"/>
        <v>0.37718478708141817</v>
      </c>
      <c r="I52" s="47">
        <v>0.23333333333333334</v>
      </c>
      <c r="J52" s="26">
        <f t="shared" si="1"/>
        <v>0.32470452492989926</v>
      </c>
      <c r="K52" s="24">
        <f t="shared" si="2"/>
        <v>104.3316326530612</v>
      </c>
      <c r="L52" s="24">
        <f t="shared" si="3"/>
        <v>3.3166247903554</v>
      </c>
      <c r="M52" s="33">
        <v>11</v>
      </c>
      <c r="N52" s="36" t="s">
        <v>46</v>
      </c>
      <c r="O52" s="48"/>
      <c r="P52" s="32" t="s">
        <v>86</v>
      </c>
      <c r="Q52" s="30"/>
      <c r="R52" s="31"/>
      <c r="S52" s="31"/>
      <c r="T52" s="31"/>
      <c r="U52" s="32" t="s">
        <v>31</v>
      </c>
      <c r="V52" s="32" t="s">
        <v>82</v>
      </c>
      <c r="X52" s="31"/>
      <c r="Y52" s="31"/>
      <c r="Z52" s="31"/>
      <c r="AA52" s="31"/>
    </row>
    <row r="53" spans="1:27" ht="12.75">
      <c r="A53" s="22" t="s">
        <v>87</v>
      </c>
      <c r="B53" s="22" t="s">
        <v>88</v>
      </c>
      <c r="C53" s="22" t="s">
        <v>71</v>
      </c>
      <c r="D53" s="22" t="s">
        <v>89</v>
      </c>
      <c r="E53" s="21" t="s">
        <v>21</v>
      </c>
      <c r="F53" s="23" t="s">
        <v>64</v>
      </c>
      <c r="G53" s="33">
        <v>0.14</v>
      </c>
      <c r="H53" s="25">
        <f t="shared" si="5"/>
        <v>-0.8538719643217619</v>
      </c>
      <c r="I53" s="33">
        <v>0.006</v>
      </c>
      <c r="J53" s="26">
        <f t="shared" si="1"/>
        <v>0.1818274580193979</v>
      </c>
      <c r="K53" s="24">
        <f t="shared" si="2"/>
        <v>544.4444444444446</v>
      </c>
      <c r="L53" s="24">
        <f t="shared" si="3"/>
        <v>4.242640687119285</v>
      </c>
      <c r="M53" s="33">
        <v>18</v>
      </c>
      <c r="N53" s="36" t="s">
        <v>23</v>
      </c>
      <c r="O53" s="35" t="s">
        <v>90</v>
      </c>
      <c r="P53" s="32" t="s">
        <v>91</v>
      </c>
      <c r="U53" s="32" t="s">
        <v>51</v>
      </c>
      <c r="V53" s="32"/>
      <c r="W53" s="32"/>
      <c r="AA53" s="31"/>
    </row>
    <row r="54" spans="1:27" ht="12.75">
      <c r="A54" s="22" t="s">
        <v>87</v>
      </c>
      <c r="B54" s="22" t="s">
        <v>88</v>
      </c>
      <c r="C54" s="22" t="s">
        <v>71</v>
      </c>
      <c r="D54" s="22" t="s">
        <v>92</v>
      </c>
      <c r="E54" s="21" t="s">
        <v>21</v>
      </c>
      <c r="F54" s="23" t="s">
        <v>64</v>
      </c>
      <c r="G54" s="47">
        <v>0.148</v>
      </c>
      <c r="H54" s="25">
        <f t="shared" si="5"/>
        <v>-0.8297382846050426</v>
      </c>
      <c r="I54" s="47">
        <v>0.024</v>
      </c>
      <c r="J54" s="26">
        <f t="shared" si="1"/>
        <v>0.5617462078601765</v>
      </c>
      <c r="K54" s="24">
        <f t="shared" si="2"/>
        <v>38.02777777777777</v>
      </c>
      <c r="L54" s="24">
        <f t="shared" si="3"/>
        <v>3.4641016151377544</v>
      </c>
      <c r="M54" s="33">
        <v>12</v>
      </c>
      <c r="N54" s="36" t="s">
        <v>23</v>
      </c>
      <c r="O54" s="35" t="s">
        <v>93</v>
      </c>
      <c r="P54" s="32" t="s">
        <v>94</v>
      </c>
      <c r="U54" s="32" t="s">
        <v>26</v>
      </c>
      <c r="V54" s="32" t="s">
        <v>87</v>
      </c>
      <c r="W54" s="32"/>
      <c r="AA54" s="31"/>
    </row>
    <row r="55" spans="1:27" ht="12.75">
      <c r="A55" s="22" t="s">
        <v>87</v>
      </c>
      <c r="B55" s="22" t="s">
        <v>88</v>
      </c>
      <c r="C55" s="22" t="s">
        <v>71</v>
      </c>
      <c r="D55" s="22" t="s">
        <v>89</v>
      </c>
      <c r="E55" s="21" t="s">
        <v>21</v>
      </c>
      <c r="F55" s="23" t="s">
        <v>64</v>
      </c>
      <c r="G55" s="33">
        <v>1.57</v>
      </c>
      <c r="H55" s="25">
        <f t="shared" si="5"/>
        <v>0.19589965240923377</v>
      </c>
      <c r="I55" s="33">
        <v>0.3</v>
      </c>
      <c r="J55" s="26">
        <f t="shared" si="1"/>
        <v>0.6889588424453481</v>
      </c>
      <c r="K55" s="24">
        <f t="shared" si="2"/>
        <v>27.387777777777778</v>
      </c>
      <c r="L55" s="24">
        <f t="shared" si="3"/>
        <v>3.605551275463989</v>
      </c>
      <c r="M55" s="33">
        <v>13</v>
      </c>
      <c r="N55" s="36" t="s">
        <v>46</v>
      </c>
      <c r="O55" s="35"/>
      <c r="P55" s="32" t="s">
        <v>95</v>
      </c>
      <c r="U55" s="32" t="s">
        <v>32</v>
      </c>
      <c r="V55" s="32" t="s">
        <v>87</v>
      </c>
      <c r="W55" s="32"/>
      <c r="AA55" s="31"/>
    </row>
    <row r="56" spans="1:27" ht="12.75">
      <c r="A56" s="22" t="s">
        <v>87</v>
      </c>
      <c r="B56" s="22" t="s">
        <v>88</v>
      </c>
      <c r="C56" s="22" t="s">
        <v>71</v>
      </c>
      <c r="D56" s="22" t="s">
        <v>35</v>
      </c>
      <c r="E56" s="21" t="s">
        <v>35</v>
      </c>
      <c r="F56" s="32" t="s">
        <v>36</v>
      </c>
      <c r="G56" s="33">
        <v>80</v>
      </c>
      <c r="H56" s="25">
        <f t="shared" si="5"/>
        <v>1.9030899869919435</v>
      </c>
      <c r="I56" s="33">
        <v>26</v>
      </c>
      <c r="J56" s="26">
        <f t="shared" si="1"/>
        <v>1.2587195875174104</v>
      </c>
      <c r="K56" s="24">
        <f t="shared" si="2"/>
        <v>9.467455621301776</v>
      </c>
      <c r="L56" s="24">
        <f t="shared" si="3"/>
        <v>3.872983346207417</v>
      </c>
      <c r="M56" s="33">
        <v>15</v>
      </c>
      <c r="N56" s="36" t="s">
        <v>96</v>
      </c>
      <c r="O56" s="35"/>
      <c r="P56" s="32" t="s">
        <v>97</v>
      </c>
      <c r="U56" s="32" t="s">
        <v>51</v>
      </c>
      <c r="V56" s="32"/>
      <c r="W56" s="32"/>
      <c r="AA56" s="31"/>
    </row>
    <row r="57" spans="1:27" ht="12.75">
      <c r="A57" s="22" t="s">
        <v>87</v>
      </c>
      <c r="B57" s="22" t="s">
        <v>88</v>
      </c>
      <c r="C57" s="22" t="s">
        <v>71</v>
      </c>
      <c r="D57" s="22" t="s">
        <v>35</v>
      </c>
      <c r="E57" s="21" t="s">
        <v>35</v>
      </c>
      <c r="F57" s="32" t="s">
        <v>36</v>
      </c>
      <c r="G57" s="49">
        <v>102.9</v>
      </c>
      <c r="H57" s="25">
        <f t="shared" si="5"/>
        <v>2.012415374762433</v>
      </c>
      <c r="I57" s="49">
        <v>17.9</v>
      </c>
      <c r="J57" s="26">
        <f t="shared" si="1"/>
        <v>0.6025988232358191</v>
      </c>
      <c r="K57" s="24">
        <f t="shared" si="2"/>
        <v>33.0464404981118</v>
      </c>
      <c r="L57" s="24">
        <f t="shared" si="3"/>
        <v>3.4641016151377544</v>
      </c>
      <c r="M57" s="33">
        <v>12</v>
      </c>
      <c r="N57" s="36" t="s">
        <v>23</v>
      </c>
      <c r="O57" s="35" t="s">
        <v>93</v>
      </c>
      <c r="P57" s="32" t="s">
        <v>94</v>
      </c>
      <c r="U57" s="32" t="s">
        <v>26</v>
      </c>
      <c r="V57" s="32" t="s">
        <v>87</v>
      </c>
      <c r="W57" s="32"/>
      <c r="AA57" s="31"/>
    </row>
    <row r="58" spans="1:27" ht="12.75">
      <c r="A58" s="22" t="s">
        <v>87</v>
      </c>
      <c r="B58" s="22" t="s">
        <v>88</v>
      </c>
      <c r="C58" s="22" t="s">
        <v>71</v>
      </c>
      <c r="D58" s="22" t="s">
        <v>35</v>
      </c>
      <c r="E58" s="21" t="s">
        <v>35</v>
      </c>
      <c r="F58" s="32" t="s">
        <v>36</v>
      </c>
      <c r="G58" s="49">
        <v>6</v>
      </c>
      <c r="H58" s="25">
        <f t="shared" si="5"/>
        <v>0.7781512503836436</v>
      </c>
      <c r="I58" s="35">
        <v>0.6</v>
      </c>
      <c r="J58" s="26">
        <f t="shared" si="1"/>
        <v>0.3605551275463989</v>
      </c>
      <c r="K58" s="24">
        <f t="shared" si="2"/>
        <v>100</v>
      </c>
      <c r="L58" s="24">
        <f t="shared" si="3"/>
        <v>3.605551275463989</v>
      </c>
      <c r="M58" s="33">
        <v>13</v>
      </c>
      <c r="N58" s="36" t="s">
        <v>46</v>
      </c>
      <c r="O58" s="35"/>
      <c r="P58" s="32" t="s">
        <v>95</v>
      </c>
      <c r="U58" s="32" t="s">
        <v>32</v>
      </c>
      <c r="V58" s="32" t="s">
        <v>87</v>
      </c>
      <c r="W58" s="32"/>
      <c r="AA58" s="31"/>
    </row>
    <row r="59" spans="1:27" ht="12.75">
      <c r="A59" s="22" t="s">
        <v>87</v>
      </c>
      <c r="B59" s="22" t="s">
        <v>88</v>
      </c>
      <c r="C59" s="22" t="s">
        <v>71</v>
      </c>
      <c r="D59" s="22" t="s">
        <v>39</v>
      </c>
      <c r="E59" s="21" t="s">
        <v>39</v>
      </c>
      <c r="F59" s="32" t="s">
        <v>40</v>
      </c>
      <c r="G59" s="33">
        <v>0.83</v>
      </c>
      <c r="H59" s="25">
        <f t="shared" si="5"/>
        <v>-0.08092190762392612</v>
      </c>
      <c r="I59" s="33">
        <v>0.02</v>
      </c>
      <c r="J59" s="26">
        <f t="shared" si="1"/>
        <v>0.1022323057137177</v>
      </c>
      <c r="K59" s="24">
        <f t="shared" si="2"/>
        <v>1722.25</v>
      </c>
      <c r="L59" s="24">
        <f t="shared" si="3"/>
        <v>4.242640687119285</v>
      </c>
      <c r="M59" s="33">
        <v>18</v>
      </c>
      <c r="N59" s="36" t="s">
        <v>23</v>
      </c>
      <c r="O59" s="35" t="s">
        <v>90</v>
      </c>
      <c r="P59" s="32" t="s">
        <v>91</v>
      </c>
      <c r="U59" s="32" t="s">
        <v>51</v>
      </c>
      <c r="V59" s="32"/>
      <c r="W59" s="32"/>
      <c r="AA59" s="31"/>
    </row>
    <row r="60" spans="1:27" ht="12.75">
      <c r="A60" s="22" t="s">
        <v>87</v>
      </c>
      <c r="B60" s="22" t="s">
        <v>88</v>
      </c>
      <c r="C60" s="22" t="s">
        <v>71</v>
      </c>
      <c r="D60" s="22" t="s">
        <v>39</v>
      </c>
      <c r="E60" s="21" t="s">
        <v>39</v>
      </c>
      <c r="F60" s="32" t="s">
        <v>40</v>
      </c>
      <c r="G60" s="47">
        <v>0.916</v>
      </c>
      <c r="H60" s="25">
        <f t="shared" si="5"/>
        <v>-0.0381045263321496</v>
      </c>
      <c r="I60" s="33">
        <v>0.07</v>
      </c>
      <c r="J60" s="26">
        <f t="shared" si="1"/>
        <v>0.2647239225541952</v>
      </c>
      <c r="K60" s="24">
        <f t="shared" si="2"/>
        <v>171.23591836734693</v>
      </c>
      <c r="L60" s="24">
        <f t="shared" si="3"/>
        <v>3.4641016151377544</v>
      </c>
      <c r="M60" s="33">
        <v>12</v>
      </c>
      <c r="N60" s="36" t="s">
        <v>23</v>
      </c>
      <c r="O60" s="35" t="s">
        <v>93</v>
      </c>
      <c r="P60" s="32" t="s">
        <v>94</v>
      </c>
      <c r="U60" s="32" t="s">
        <v>26</v>
      </c>
      <c r="V60" s="32" t="s">
        <v>87</v>
      </c>
      <c r="W60" s="32"/>
      <c r="AA60" s="31"/>
    </row>
    <row r="61" spans="1:27" ht="12.75">
      <c r="A61" s="22" t="s">
        <v>87</v>
      </c>
      <c r="B61" s="22" t="s">
        <v>88</v>
      </c>
      <c r="C61" s="22" t="s">
        <v>71</v>
      </c>
      <c r="D61" s="22" t="s">
        <v>39</v>
      </c>
      <c r="E61" s="21" t="s">
        <v>39</v>
      </c>
      <c r="F61" s="32" t="s">
        <v>40</v>
      </c>
      <c r="G61" s="47">
        <v>0.526</v>
      </c>
      <c r="H61" s="25">
        <f t="shared" si="5"/>
        <v>-0.27901425584626094</v>
      </c>
      <c r="I61" s="47">
        <v>0.076</v>
      </c>
      <c r="J61" s="26">
        <f t="shared" si="1"/>
        <v>0.5209541766830098</v>
      </c>
      <c r="K61" s="24">
        <f t="shared" si="2"/>
        <v>47.90096952908588</v>
      </c>
      <c r="L61" s="24">
        <f t="shared" si="3"/>
        <v>3.605551275463989</v>
      </c>
      <c r="M61" s="33">
        <v>13</v>
      </c>
      <c r="N61" s="36" t="s">
        <v>46</v>
      </c>
      <c r="O61" s="35"/>
      <c r="P61" s="32" t="s">
        <v>95</v>
      </c>
      <c r="U61" s="32" t="s">
        <v>32</v>
      </c>
      <c r="V61" s="32" t="s">
        <v>87</v>
      </c>
      <c r="W61" s="32"/>
      <c r="AA61" s="31"/>
    </row>
    <row r="62" spans="1:27" ht="25.5">
      <c r="A62" s="50" t="s">
        <v>98</v>
      </c>
      <c r="B62" s="51" t="s">
        <v>99</v>
      </c>
      <c r="C62" s="22" t="s">
        <v>20</v>
      </c>
      <c r="D62" s="50" t="s">
        <v>100</v>
      </c>
      <c r="E62" s="21" t="s">
        <v>101</v>
      </c>
      <c r="F62" s="52" t="s">
        <v>102</v>
      </c>
      <c r="G62" s="24">
        <v>1.6878231917944597</v>
      </c>
      <c r="H62" s="25">
        <v>0.22732695008004528</v>
      </c>
      <c r="I62" s="24">
        <v>0.23193795047327562</v>
      </c>
      <c r="J62" s="26">
        <f t="shared" si="1"/>
        <v>0.363574893112994</v>
      </c>
      <c r="K62" s="24">
        <f t="shared" si="2"/>
        <v>52.955402066295655</v>
      </c>
      <c r="L62" s="24">
        <v>2.6457513110645907</v>
      </c>
      <c r="M62" s="27">
        <v>7</v>
      </c>
      <c r="N62" s="53" t="s">
        <v>103</v>
      </c>
      <c r="O62" s="29">
        <v>1.1714285714285713</v>
      </c>
      <c r="P62" s="50" t="s">
        <v>104</v>
      </c>
      <c r="Q62" s="43"/>
      <c r="R62" s="43" t="s">
        <v>105</v>
      </c>
      <c r="S62" s="43"/>
      <c r="T62" s="33"/>
      <c r="U62" s="33"/>
      <c r="V62" s="33"/>
      <c r="W62" s="33"/>
      <c r="X62" s="33"/>
      <c r="Y62" s="33"/>
      <c r="Z62" s="33"/>
      <c r="AA62" s="33"/>
    </row>
    <row r="63" spans="1:27" ht="12.75">
      <c r="A63" s="50" t="s">
        <v>98</v>
      </c>
      <c r="B63" s="51" t="s">
        <v>99</v>
      </c>
      <c r="C63" s="22" t="s">
        <v>20</v>
      </c>
      <c r="D63" s="50" t="s">
        <v>100</v>
      </c>
      <c r="E63" s="21" t="s">
        <v>101</v>
      </c>
      <c r="F63" s="54" t="s">
        <v>106</v>
      </c>
      <c r="G63" s="24">
        <v>2.0399408251708087</v>
      </c>
      <c r="H63" s="25">
        <v>0.3096175695462292</v>
      </c>
      <c r="I63" s="24">
        <v>0.3091971851867698</v>
      </c>
      <c r="J63" s="26">
        <f t="shared" si="1"/>
        <v>0.5671291625956438</v>
      </c>
      <c r="K63" s="24">
        <f t="shared" si="2"/>
        <v>43.52753524709228</v>
      </c>
      <c r="L63" s="24">
        <v>3.7416573867739418</v>
      </c>
      <c r="M63" s="27">
        <v>14</v>
      </c>
      <c r="N63" s="53" t="s">
        <v>107</v>
      </c>
      <c r="O63" s="29">
        <v>7.064285714285715</v>
      </c>
      <c r="P63" s="50" t="s">
        <v>104</v>
      </c>
      <c r="Q63" s="43"/>
      <c r="R63" s="43" t="s">
        <v>105</v>
      </c>
      <c r="U63" s="32"/>
      <c r="V63" s="23"/>
      <c r="W63" s="32"/>
      <c r="AA63" s="31"/>
    </row>
    <row r="64" spans="1:26" ht="12.75">
      <c r="A64" s="39" t="s">
        <v>98</v>
      </c>
      <c r="B64" s="51" t="s">
        <v>99</v>
      </c>
      <c r="C64" s="22" t="s">
        <v>20</v>
      </c>
      <c r="D64" s="50" t="s">
        <v>100</v>
      </c>
      <c r="E64" s="21" t="s">
        <v>101</v>
      </c>
      <c r="F64" s="54" t="s">
        <v>106</v>
      </c>
      <c r="G64" s="43">
        <v>1.47</v>
      </c>
      <c r="H64" s="55">
        <v>0.16731733474817606</v>
      </c>
      <c r="I64" s="55">
        <v>0.10660035817780521</v>
      </c>
      <c r="J64" s="26">
        <f t="shared" si="1"/>
        <v>0.3401360544217687</v>
      </c>
      <c r="K64" s="24">
        <f t="shared" si="2"/>
        <v>190.15920000000006</v>
      </c>
      <c r="L64" s="56">
        <v>4.69041575982343</v>
      </c>
      <c r="M64" s="43">
        <v>22</v>
      </c>
      <c r="N64" s="39" t="s">
        <v>108</v>
      </c>
      <c r="O64" s="57" t="s">
        <v>109</v>
      </c>
      <c r="P64" s="39" t="s">
        <v>110</v>
      </c>
      <c r="Q64" s="43"/>
      <c r="R64" s="39" t="s">
        <v>111</v>
      </c>
      <c r="S64" s="39"/>
      <c r="T64" s="32"/>
      <c r="U64" s="32"/>
      <c r="V64" s="32"/>
      <c r="W64" s="32"/>
      <c r="X64" s="32"/>
      <c r="Y64" s="32"/>
      <c r="Z64" s="32"/>
    </row>
    <row r="65" spans="1:26" ht="12.75">
      <c r="A65" s="39" t="s">
        <v>98</v>
      </c>
      <c r="B65" s="51" t="s">
        <v>99</v>
      </c>
      <c r="C65" s="22" t="s">
        <v>20</v>
      </c>
      <c r="D65" s="50" t="s">
        <v>100</v>
      </c>
      <c r="E65" s="21" t="s">
        <v>101</v>
      </c>
      <c r="F65" s="54" t="s">
        <v>106</v>
      </c>
      <c r="G65" s="43">
        <v>1.94</v>
      </c>
      <c r="H65" s="55">
        <v>0.287801729930226</v>
      </c>
      <c r="I65" s="55">
        <v>0.1889822365046136</v>
      </c>
      <c r="J65" s="26">
        <f t="shared" si="1"/>
        <v>0.5154639175257733</v>
      </c>
      <c r="K65" s="24">
        <f t="shared" si="2"/>
        <v>105.38080000000002</v>
      </c>
      <c r="L65" s="56">
        <v>5.291502622129181</v>
      </c>
      <c r="M65" s="43">
        <v>28</v>
      </c>
      <c r="N65" s="39" t="s">
        <v>112</v>
      </c>
      <c r="O65" s="57" t="s">
        <v>113</v>
      </c>
      <c r="P65" s="39" t="s">
        <v>110</v>
      </c>
      <c r="Q65" s="43"/>
      <c r="R65" s="39" t="s">
        <v>111</v>
      </c>
      <c r="S65" s="39"/>
      <c r="T65" s="32"/>
      <c r="U65" s="32"/>
      <c r="V65" s="32"/>
      <c r="W65" s="32"/>
      <c r="X65" s="32"/>
      <c r="Y65" s="32"/>
      <c r="Z65" s="32"/>
    </row>
    <row r="66" spans="1:27" ht="12.75">
      <c r="A66" s="50" t="s">
        <v>98</v>
      </c>
      <c r="B66" s="51" t="s">
        <v>99</v>
      </c>
      <c r="C66" s="22" t="s">
        <v>20</v>
      </c>
      <c r="D66" s="50" t="s">
        <v>100</v>
      </c>
      <c r="E66" s="21" t="s">
        <v>101</v>
      </c>
      <c r="F66" s="54" t="s">
        <v>106</v>
      </c>
      <c r="G66" s="24">
        <v>2.297217562153439</v>
      </c>
      <c r="H66" s="25">
        <v>0.3612021277889888</v>
      </c>
      <c r="I66" s="24">
        <v>0.3128330268532043</v>
      </c>
      <c r="J66" s="26">
        <f aca="true" t="shared" si="6" ref="J66:J126">(I66*(M66^0.5))/G66</f>
        <v>0.3851726685558727</v>
      </c>
      <c r="K66" s="24">
        <f aca="true" t="shared" si="7" ref="K66:K71">(G66/I66)^2</f>
        <v>53.92362279278209</v>
      </c>
      <c r="L66" s="24">
        <v>2.8284271247461903</v>
      </c>
      <c r="M66" s="27">
        <v>8</v>
      </c>
      <c r="N66" s="53" t="s">
        <v>114</v>
      </c>
      <c r="O66" s="29">
        <v>15</v>
      </c>
      <c r="P66" s="50" t="s">
        <v>104</v>
      </c>
      <c r="Q66" s="43"/>
      <c r="R66" s="43" t="s">
        <v>105</v>
      </c>
      <c r="U66" s="32"/>
      <c r="V66" s="23"/>
      <c r="W66" s="32"/>
      <c r="AA66" s="31"/>
    </row>
    <row r="67" spans="1:26" ht="12.75">
      <c r="A67" s="39" t="s">
        <v>98</v>
      </c>
      <c r="B67" s="51" t="s">
        <v>99</v>
      </c>
      <c r="C67" s="22" t="s">
        <v>20</v>
      </c>
      <c r="D67" s="50" t="s">
        <v>100</v>
      </c>
      <c r="E67" s="21" t="s">
        <v>101</v>
      </c>
      <c r="F67" s="54" t="s">
        <v>106</v>
      </c>
      <c r="G67" s="43">
        <v>3.67</v>
      </c>
      <c r="H67" s="55">
        <v>0.5646660642520893</v>
      </c>
      <c r="I67" s="55">
        <v>0.38242646351945886</v>
      </c>
      <c r="J67" s="26">
        <f t="shared" si="6"/>
        <v>0.5313351498637602</v>
      </c>
      <c r="K67" s="24">
        <f t="shared" si="7"/>
        <v>92.09504273504274</v>
      </c>
      <c r="L67" s="56">
        <v>5.0990195135927845</v>
      </c>
      <c r="M67" s="43">
        <v>26</v>
      </c>
      <c r="N67" s="39" t="s">
        <v>115</v>
      </c>
      <c r="O67" s="57" t="s">
        <v>116</v>
      </c>
      <c r="P67" s="39" t="s">
        <v>110</v>
      </c>
      <c r="Q67" s="43"/>
      <c r="R67" s="39" t="s">
        <v>111</v>
      </c>
      <c r="S67" s="39"/>
      <c r="T67" s="32"/>
      <c r="U67" s="32"/>
      <c r="V67" s="32"/>
      <c r="W67" s="32"/>
      <c r="X67" s="32"/>
      <c r="Y67" s="32"/>
      <c r="Z67" s="32"/>
    </row>
    <row r="68" spans="1:27" ht="12.75">
      <c r="A68" s="50" t="s">
        <v>98</v>
      </c>
      <c r="B68" s="51" t="s">
        <v>99</v>
      </c>
      <c r="C68" s="22" t="s">
        <v>20</v>
      </c>
      <c r="D68" s="50" t="s">
        <v>100</v>
      </c>
      <c r="E68" s="21" t="s">
        <v>101</v>
      </c>
      <c r="F68" s="54" t="s">
        <v>106</v>
      </c>
      <c r="G68" s="24">
        <v>2.9084905829173295</v>
      </c>
      <c r="H68" s="25">
        <v>0.4636676619821912</v>
      </c>
      <c r="I68" s="24">
        <v>0.417335589457813</v>
      </c>
      <c r="J68" s="26">
        <f t="shared" si="6"/>
        <v>0.45375117220145944</v>
      </c>
      <c r="K68" s="24">
        <f t="shared" si="7"/>
        <v>48.56959476863058</v>
      </c>
      <c r="L68" s="24">
        <v>3.1622776601683795</v>
      </c>
      <c r="M68" s="27">
        <v>10</v>
      </c>
      <c r="N68" s="53" t="s">
        <v>46</v>
      </c>
      <c r="O68" s="29">
        <v>41.6</v>
      </c>
      <c r="P68" s="50" t="s">
        <v>104</v>
      </c>
      <c r="Q68" s="43"/>
      <c r="R68" s="43" t="s">
        <v>105</v>
      </c>
      <c r="U68" s="32"/>
      <c r="V68" s="23"/>
      <c r="W68" s="32"/>
      <c r="AA68" s="31"/>
    </row>
    <row r="69" spans="1:26" ht="22.5">
      <c r="A69" s="39" t="s">
        <v>98</v>
      </c>
      <c r="B69" s="51" t="s">
        <v>99</v>
      </c>
      <c r="C69" s="22" t="s">
        <v>20</v>
      </c>
      <c r="D69" s="58" t="s">
        <v>117</v>
      </c>
      <c r="E69" s="21" t="s">
        <v>35</v>
      </c>
      <c r="F69" s="39" t="s">
        <v>36</v>
      </c>
      <c r="G69" s="26">
        <v>28</v>
      </c>
      <c r="H69" s="26">
        <v>1.4471580313422192</v>
      </c>
      <c r="I69" s="26">
        <v>5.70087712549569</v>
      </c>
      <c r="J69" s="26">
        <f t="shared" si="6"/>
        <v>0.40720550896397784</v>
      </c>
      <c r="K69" s="24">
        <f t="shared" si="7"/>
        <v>24.123076923076923</v>
      </c>
      <c r="L69" s="59">
        <v>2</v>
      </c>
      <c r="M69" s="43">
        <v>4</v>
      </c>
      <c r="N69" s="39" t="s">
        <v>118</v>
      </c>
      <c r="O69" s="60"/>
      <c r="P69" s="39" t="s">
        <v>119</v>
      </c>
      <c r="Q69" s="43"/>
      <c r="R69" s="39" t="s">
        <v>120</v>
      </c>
      <c r="S69" s="39"/>
      <c r="T69" s="32"/>
      <c r="U69" s="32"/>
      <c r="V69" s="32"/>
      <c r="W69" s="32"/>
      <c r="X69" s="32"/>
      <c r="Y69" s="32"/>
      <c r="Z69" s="32"/>
    </row>
    <row r="70" spans="1:26" ht="12.75">
      <c r="A70" s="39" t="s">
        <v>98</v>
      </c>
      <c r="B70" s="51" t="s">
        <v>99</v>
      </c>
      <c r="C70" s="22" t="s">
        <v>20</v>
      </c>
      <c r="D70" s="61" t="s">
        <v>121</v>
      </c>
      <c r="E70" s="21" t="s">
        <v>35</v>
      </c>
      <c r="F70" s="39" t="s">
        <v>36</v>
      </c>
      <c r="G70" s="26">
        <v>20.925</v>
      </c>
      <c r="H70" s="26">
        <v>1.320146286111054</v>
      </c>
      <c r="I70" s="26">
        <v>2.513090726575555</v>
      </c>
      <c r="J70" s="26">
        <f t="shared" si="6"/>
        <v>0.24019983049706617</v>
      </c>
      <c r="K70" s="24">
        <f t="shared" si="7"/>
        <v>69.32894606630327</v>
      </c>
      <c r="L70" s="59">
        <v>2</v>
      </c>
      <c r="M70" s="43">
        <v>4</v>
      </c>
      <c r="N70" s="39" t="s">
        <v>55</v>
      </c>
      <c r="O70" s="60"/>
      <c r="P70" s="39" t="s">
        <v>122</v>
      </c>
      <c r="Q70" s="43" t="s">
        <v>51</v>
      </c>
      <c r="R70" s="39" t="s">
        <v>123</v>
      </c>
      <c r="S70" s="39"/>
      <c r="T70" s="32"/>
      <c r="U70" s="32"/>
      <c r="V70" s="32"/>
      <c r="W70" s="32"/>
      <c r="X70" s="32"/>
      <c r="Y70" s="32"/>
      <c r="Z70" s="32"/>
    </row>
    <row r="71" spans="1:26" ht="12.75">
      <c r="A71" s="39" t="s">
        <v>98</v>
      </c>
      <c r="B71" s="51" t="s">
        <v>99</v>
      </c>
      <c r="C71" s="22" t="s">
        <v>20</v>
      </c>
      <c r="D71" s="61" t="s">
        <v>124</v>
      </c>
      <c r="E71" s="21" t="s">
        <v>35</v>
      </c>
      <c r="F71" s="39" t="s">
        <v>36</v>
      </c>
      <c r="G71" s="26">
        <v>12.25</v>
      </c>
      <c r="H71" s="26">
        <f>LOG(G71)</f>
        <v>1.0881360887005513</v>
      </c>
      <c r="I71" s="26">
        <v>0.4133198922545702</v>
      </c>
      <c r="J71" s="26">
        <f t="shared" si="6"/>
        <v>0.06748079873544004</v>
      </c>
      <c r="K71" s="24">
        <f t="shared" si="7"/>
        <v>878.414634146361</v>
      </c>
      <c r="L71" s="59">
        <v>2</v>
      </c>
      <c r="M71" s="43">
        <v>4</v>
      </c>
      <c r="N71" s="39" t="s">
        <v>55</v>
      </c>
      <c r="O71" s="60"/>
      <c r="P71" s="39" t="s">
        <v>125</v>
      </c>
      <c r="Q71" s="43" t="s">
        <v>51</v>
      </c>
      <c r="R71" s="39" t="s">
        <v>123</v>
      </c>
      <c r="S71" s="39"/>
      <c r="T71" s="32"/>
      <c r="U71" s="32"/>
      <c r="V71" s="32"/>
      <c r="W71" s="32"/>
      <c r="X71" s="32"/>
      <c r="Y71" s="32"/>
      <c r="Z71" s="32"/>
    </row>
    <row r="72" spans="1:26" ht="25.5">
      <c r="A72" s="39" t="s">
        <v>126</v>
      </c>
      <c r="B72" s="39" t="s">
        <v>127</v>
      </c>
      <c r="C72" s="32" t="s">
        <v>127</v>
      </c>
      <c r="D72" s="50" t="s">
        <v>100</v>
      </c>
      <c r="E72" s="21" t="s">
        <v>101</v>
      </c>
      <c r="F72" s="39" t="s">
        <v>128</v>
      </c>
      <c r="G72" s="26">
        <v>0.2482</v>
      </c>
      <c r="H72" s="26">
        <v>-0.605198222837289</v>
      </c>
      <c r="I72" s="26">
        <v>0.031053566622853485</v>
      </c>
      <c r="J72" s="26">
        <f t="shared" si="6"/>
        <v>0.39564867042707497</v>
      </c>
      <c r="K72" s="26">
        <v>63.882305117367196</v>
      </c>
      <c r="L72" s="59">
        <v>3.1622776601683795</v>
      </c>
      <c r="M72" s="43">
        <v>10</v>
      </c>
      <c r="N72" s="39" t="s">
        <v>129</v>
      </c>
      <c r="O72" s="45" t="s">
        <v>130</v>
      </c>
      <c r="P72" s="39" t="s">
        <v>131</v>
      </c>
      <c r="Q72" s="43"/>
      <c r="R72" s="39" t="s">
        <v>132</v>
      </c>
      <c r="S72" s="39"/>
      <c r="T72" s="32"/>
      <c r="U72" s="32"/>
      <c r="V72" s="32"/>
      <c r="W72" s="32"/>
      <c r="X72" s="32"/>
      <c r="Y72" s="32"/>
      <c r="Z72" s="32"/>
    </row>
    <row r="73" spans="1:26" ht="12.75">
      <c r="A73" s="39" t="s">
        <v>126</v>
      </c>
      <c r="B73" s="39" t="s">
        <v>127</v>
      </c>
      <c r="C73" s="32" t="s">
        <v>127</v>
      </c>
      <c r="D73" s="50" t="s">
        <v>100</v>
      </c>
      <c r="E73" s="21" t="s">
        <v>101</v>
      </c>
      <c r="F73" s="39" t="s">
        <v>128</v>
      </c>
      <c r="G73" s="26">
        <v>0.2394</v>
      </c>
      <c r="H73" s="26">
        <v>-0.6208758539296081</v>
      </c>
      <c r="I73" s="26">
        <v>0.07476137276122514</v>
      </c>
      <c r="J73" s="26">
        <f t="shared" si="6"/>
        <v>0.8262322472848789</v>
      </c>
      <c r="K73" s="26">
        <v>10.254010495633976</v>
      </c>
      <c r="L73" s="59">
        <v>2.6457513110645907</v>
      </c>
      <c r="M73" s="43">
        <v>7</v>
      </c>
      <c r="N73" s="39" t="s">
        <v>133</v>
      </c>
      <c r="O73" s="60" t="s">
        <v>134</v>
      </c>
      <c r="P73" s="39" t="s">
        <v>131</v>
      </c>
      <c r="Q73" s="43"/>
      <c r="R73" s="39" t="s">
        <v>132</v>
      </c>
      <c r="S73" s="39"/>
      <c r="T73" s="32"/>
      <c r="U73" s="32"/>
      <c r="V73" s="32"/>
      <c r="W73" s="32"/>
      <c r="X73" s="32"/>
      <c r="Y73" s="32"/>
      <c r="Z73" s="32"/>
    </row>
    <row r="74" spans="1:26" ht="25.5">
      <c r="A74" s="39" t="s">
        <v>126</v>
      </c>
      <c r="B74" s="39" t="s">
        <v>127</v>
      </c>
      <c r="C74" s="32" t="s">
        <v>127</v>
      </c>
      <c r="D74" s="50" t="s">
        <v>135</v>
      </c>
      <c r="E74" s="21" t="s">
        <v>21</v>
      </c>
      <c r="F74" s="32" t="s">
        <v>136</v>
      </c>
      <c r="G74" s="26">
        <v>80.16666666666667</v>
      </c>
      <c r="H74" s="26">
        <v>0.6821450763738317</v>
      </c>
      <c r="I74" s="26">
        <v>12.01665510863984</v>
      </c>
      <c r="J74" s="26">
        <f t="shared" si="6"/>
        <v>0.474012474012474</v>
      </c>
      <c r="K74" s="24">
        <f>(G74/I74)^2</f>
        <v>44.506194213604196</v>
      </c>
      <c r="L74" s="59">
        <v>3.1622776601683795</v>
      </c>
      <c r="M74" s="43">
        <v>10</v>
      </c>
      <c r="N74" s="39" t="s">
        <v>129</v>
      </c>
      <c r="O74" s="45" t="s">
        <v>130</v>
      </c>
      <c r="P74" s="39" t="s">
        <v>131</v>
      </c>
      <c r="Q74" s="43"/>
      <c r="R74" s="39" t="s">
        <v>132</v>
      </c>
      <c r="S74" s="39"/>
      <c r="T74" s="32"/>
      <c r="U74" s="32"/>
      <c r="V74" s="32"/>
      <c r="W74" s="32"/>
      <c r="X74" s="32"/>
      <c r="Y74" s="32"/>
      <c r="Z74" s="32"/>
    </row>
    <row r="75" spans="1:26" ht="12.75">
      <c r="A75" s="39" t="s">
        <v>126</v>
      </c>
      <c r="B75" s="39" t="s">
        <v>127</v>
      </c>
      <c r="C75" s="32" t="s">
        <v>127</v>
      </c>
      <c r="D75" s="50" t="s">
        <v>135</v>
      </c>
      <c r="E75" s="21" t="s">
        <v>21</v>
      </c>
      <c r="F75" s="32" t="s">
        <v>136</v>
      </c>
      <c r="G75" s="26">
        <v>94.33333333333333</v>
      </c>
      <c r="H75" s="26">
        <v>0.7528164311882715</v>
      </c>
      <c r="I75" s="26">
        <v>14.362649974350633</v>
      </c>
      <c r="J75" s="26">
        <f t="shared" si="6"/>
        <v>0.40282685512367494</v>
      </c>
      <c r="K75" s="24">
        <f>(G75/I75)^2</f>
        <v>43.13811942136043</v>
      </c>
      <c r="L75" s="59">
        <v>2.6457513110645907</v>
      </c>
      <c r="M75" s="43">
        <v>7</v>
      </c>
      <c r="N75" s="39" t="s">
        <v>133</v>
      </c>
      <c r="O75" s="60" t="s">
        <v>134</v>
      </c>
      <c r="P75" s="39" t="s">
        <v>131</v>
      </c>
      <c r="Q75" s="43"/>
      <c r="R75" s="39" t="s">
        <v>132</v>
      </c>
      <c r="S75" s="39"/>
      <c r="T75" s="32"/>
      <c r="U75" s="32"/>
      <c r="V75" s="32"/>
      <c r="W75" s="32"/>
      <c r="X75" s="32"/>
      <c r="Y75" s="32"/>
      <c r="Z75" s="32"/>
    </row>
    <row r="76" spans="1:26" ht="25.5">
      <c r="A76" s="39" t="s">
        <v>126</v>
      </c>
      <c r="B76" s="39" t="s">
        <v>127</v>
      </c>
      <c r="C76" s="32" t="s">
        <v>127</v>
      </c>
      <c r="D76" s="50" t="s">
        <v>137</v>
      </c>
      <c r="E76" s="50" t="s">
        <v>138</v>
      </c>
      <c r="F76" s="39" t="s">
        <v>139</v>
      </c>
      <c r="G76" s="26">
        <v>0.1602</v>
      </c>
      <c r="H76" s="26">
        <v>-0.7953374882517811</v>
      </c>
      <c r="I76" s="26">
        <v>0.032381723240124206</v>
      </c>
      <c r="J76" s="26">
        <f t="shared" si="6"/>
        <v>0.6392009987515607</v>
      </c>
      <c r="K76" s="26">
        <v>24.475135803222653</v>
      </c>
      <c r="L76" s="59">
        <v>3.1622776601683795</v>
      </c>
      <c r="M76" s="43">
        <v>10</v>
      </c>
      <c r="N76" s="39" t="s">
        <v>129</v>
      </c>
      <c r="O76" s="45" t="s">
        <v>130</v>
      </c>
      <c r="P76" s="39" t="s">
        <v>131</v>
      </c>
      <c r="Q76" s="43"/>
      <c r="R76" s="39" t="s">
        <v>132</v>
      </c>
      <c r="S76" s="39"/>
      <c r="T76" s="32"/>
      <c r="U76" s="32"/>
      <c r="V76" s="32"/>
      <c r="W76" s="32"/>
      <c r="X76" s="32"/>
      <c r="Y76" s="32"/>
      <c r="Z76" s="32"/>
    </row>
    <row r="77" spans="1:26" ht="12.75">
      <c r="A77" s="39" t="s">
        <v>126</v>
      </c>
      <c r="B77" s="39" t="s">
        <v>127</v>
      </c>
      <c r="C77" s="32" t="s">
        <v>127</v>
      </c>
      <c r="D77" s="50" t="s">
        <v>137</v>
      </c>
      <c r="E77" s="50" t="s">
        <v>138</v>
      </c>
      <c r="F77" s="39" t="s">
        <v>139</v>
      </c>
      <c r="G77" s="26">
        <v>0.1246</v>
      </c>
      <c r="H77" s="26">
        <v>-0.9044819576768491</v>
      </c>
      <c r="I77" s="26">
        <v>0.01723517996922076</v>
      </c>
      <c r="J77" s="26">
        <f t="shared" si="6"/>
        <v>0.3659711075441412</v>
      </c>
      <c r="K77" s="26">
        <v>52.264215912588504</v>
      </c>
      <c r="L77" s="59">
        <v>2.6457513110645907</v>
      </c>
      <c r="M77" s="43">
        <v>7</v>
      </c>
      <c r="N77" s="39" t="s">
        <v>133</v>
      </c>
      <c r="O77" s="60" t="s">
        <v>134</v>
      </c>
      <c r="P77" s="39" t="s">
        <v>131</v>
      </c>
      <c r="Q77" s="43"/>
      <c r="R77" s="39" t="s">
        <v>132</v>
      </c>
      <c r="S77" s="39"/>
      <c r="T77" s="32"/>
      <c r="U77" s="32"/>
      <c r="V77" s="32"/>
      <c r="W77" s="32"/>
      <c r="X77" s="32"/>
      <c r="Y77" s="32"/>
      <c r="Z77" s="32"/>
    </row>
    <row r="78" spans="1:26" ht="12.75">
      <c r="A78" s="39" t="s">
        <v>126</v>
      </c>
      <c r="B78" s="39" t="s">
        <v>127</v>
      </c>
      <c r="C78" s="32" t="s">
        <v>127</v>
      </c>
      <c r="D78" s="50" t="s">
        <v>137</v>
      </c>
      <c r="E78" s="50" t="s">
        <v>138</v>
      </c>
      <c r="F78" s="39" t="s">
        <v>139</v>
      </c>
      <c r="G78" s="26">
        <v>0.29091999999999996</v>
      </c>
      <c r="H78" s="26">
        <v>-0.5362264211006034</v>
      </c>
      <c r="I78" s="26" t="s">
        <v>68</v>
      </c>
      <c r="J78" s="26" t="e">
        <f t="shared" si="6"/>
        <v>#VALUE!</v>
      </c>
      <c r="K78" s="26" t="e">
        <v>#VALUE!</v>
      </c>
      <c r="L78" s="59">
        <v>3.872983346207417</v>
      </c>
      <c r="M78" s="43">
        <v>15</v>
      </c>
      <c r="N78" s="39" t="s">
        <v>55</v>
      </c>
      <c r="O78" s="60"/>
      <c r="P78" s="39" t="s">
        <v>140</v>
      </c>
      <c r="Q78" s="43" t="s">
        <v>51</v>
      </c>
      <c r="R78" s="39"/>
      <c r="S78" s="39"/>
      <c r="T78" s="32"/>
      <c r="U78" s="32"/>
      <c r="V78" s="32"/>
      <c r="W78" s="32"/>
      <c r="X78" s="32"/>
      <c r="Y78" s="32"/>
      <c r="Z78" s="32"/>
    </row>
    <row r="79" spans="1:26" ht="25.5">
      <c r="A79" s="39" t="s">
        <v>126</v>
      </c>
      <c r="B79" s="39" t="s">
        <v>127</v>
      </c>
      <c r="C79" s="32" t="s">
        <v>127</v>
      </c>
      <c r="D79" s="50" t="s">
        <v>141</v>
      </c>
      <c r="E79" s="21" t="s">
        <v>35</v>
      </c>
      <c r="F79" s="39" t="s">
        <v>36</v>
      </c>
      <c r="G79" s="40">
        <v>1.01</v>
      </c>
      <c r="H79" s="26">
        <v>0.004321373782642578</v>
      </c>
      <c r="I79" s="40">
        <v>0.30674093303633276</v>
      </c>
      <c r="J79" s="26">
        <f t="shared" si="6"/>
        <v>0.9603960396039604</v>
      </c>
      <c r="K79" s="26">
        <v>10.841747263258585</v>
      </c>
      <c r="L79" s="59">
        <v>3.1622776601683795</v>
      </c>
      <c r="M79" s="43">
        <v>10</v>
      </c>
      <c r="N79" s="39" t="s">
        <v>129</v>
      </c>
      <c r="O79" s="45" t="s">
        <v>130</v>
      </c>
      <c r="P79" s="39" t="s">
        <v>131</v>
      </c>
      <c r="Q79" s="43"/>
      <c r="R79" s="39" t="s">
        <v>132</v>
      </c>
      <c r="S79" s="39"/>
      <c r="T79" s="32"/>
      <c r="U79" s="32"/>
      <c r="V79" s="32"/>
      <c r="W79" s="32"/>
      <c r="X79" s="32"/>
      <c r="Y79" s="32"/>
      <c r="Z79" s="32"/>
    </row>
    <row r="80" spans="1:26" ht="12.75">
      <c r="A80" s="39" t="s">
        <v>126</v>
      </c>
      <c r="B80" s="39" t="s">
        <v>127</v>
      </c>
      <c r="C80" s="32" t="s">
        <v>127</v>
      </c>
      <c r="D80" s="50" t="s">
        <v>141</v>
      </c>
      <c r="E80" s="21" t="s">
        <v>35</v>
      </c>
      <c r="F80" s="39" t="s">
        <v>36</v>
      </c>
      <c r="G80" s="40">
        <v>3.01</v>
      </c>
      <c r="H80" s="26">
        <v>0.4785664955938433</v>
      </c>
      <c r="I80" s="40">
        <v>2.1959735881836098</v>
      </c>
      <c r="J80" s="26">
        <f t="shared" si="6"/>
        <v>1.930232558139535</v>
      </c>
      <c r="K80" s="26">
        <v>1.8787922775439108</v>
      </c>
      <c r="L80" s="59">
        <v>2.6457513110645907</v>
      </c>
      <c r="M80" s="43">
        <v>7</v>
      </c>
      <c r="N80" s="39" t="s">
        <v>133</v>
      </c>
      <c r="O80" s="60" t="s">
        <v>134</v>
      </c>
      <c r="P80" s="39" t="s">
        <v>131</v>
      </c>
      <c r="Q80" s="43"/>
      <c r="R80" s="39" t="s">
        <v>132</v>
      </c>
      <c r="S80" s="39"/>
      <c r="T80" s="32"/>
      <c r="U80" s="32"/>
      <c r="V80" s="32"/>
      <c r="W80" s="32"/>
      <c r="X80" s="32"/>
      <c r="Y80" s="32"/>
      <c r="Z80" s="32"/>
    </row>
    <row r="81" spans="1:27" ht="12.75">
      <c r="A81" s="21" t="s">
        <v>142</v>
      </c>
      <c r="B81" s="22" t="s">
        <v>143</v>
      </c>
      <c r="C81" s="22" t="s">
        <v>48</v>
      </c>
      <c r="D81" s="21" t="s">
        <v>34</v>
      </c>
      <c r="E81" s="21" t="s">
        <v>35</v>
      </c>
      <c r="F81" s="23" t="s">
        <v>36</v>
      </c>
      <c r="G81" s="24">
        <v>1.3937037037037039</v>
      </c>
      <c r="H81" s="25">
        <f aca="true" t="shared" si="8" ref="H81:H91">LOG(G81)</f>
        <v>0.14417045416087707</v>
      </c>
      <c r="I81" s="24">
        <v>0.048464008874292946</v>
      </c>
      <c r="J81" s="26">
        <f t="shared" si="6"/>
        <v>0.18068860436907494</v>
      </c>
      <c r="K81" s="24">
        <f aca="true" t="shared" si="9" ref="K81:K144">(G81/I81)^2</f>
        <v>826.9937688686092</v>
      </c>
      <c r="L81" s="24">
        <f aca="true" t="shared" si="10" ref="L81:L102">M81^0.5</f>
        <v>5.196152422706632</v>
      </c>
      <c r="M81" s="27">
        <v>27</v>
      </c>
      <c r="N81" s="53" t="s">
        <v>144</v>
      </c>
      <c r="O81" s="29">
        <v>8.988888888888889</v>
      </c>
      <c r="P81" s="23" t="s">
        <v>145</v>
      </c>
      <c r="U81" s="32" t="s">
        <v>26</v>
      </c>
      <c r="V81" s="23" t="s">
        <v>142</v>
      </c>
      <c r="W81" s="23"/>
      <c r="AA81" s="31"/>
    </row>
    <row r="82" spans="1:27" ht="12.75">
      <c r="A82" s="21" t="s">
        <v>142</v>
      </c>
      <c r="B82" s="22" t="s">
        <v>143</v>
      </c>
      <c r="C82" s="22" t="s">
        <v>48</v>
      </c>
      <c r="D82" s="21" t="s">
        <v>34</v>
      </c>
      <c r="E82" s="21" t="s">
        <v>35</v>
      </c>
      <c r="F82" s="23" t="s">
        <v>36</v>
      </c>
      <c r="G82" s="24">
        <v>2.149444444444444</v>
      </c>
      <c r="H82" s="25">
        <f t="shared" si="8"/>
        <v>0.33232622461793876</v>
      </c>
      <c r="I82" s="24">
        <v>0.11678287407174978</v>
      </c>
      <c r="J82" s="26">
        <f t="shared" si="6"/>
        <v>0.29758673049079504</v>
      </c>
      <c r="K82" s="24">
        <f t="shared" si="9"/>
        <v>338.76156522811016</v>
      </c>
      <c r="L82" s="24">
        <f t="shared" si="10"/>
        <v>5.477225575051661</v>
      </c>
      <c r="M82" s="27">
        <v>30</v>
      </c>
      <c r="N82" s="53" t="s">
        <v>46</v>
      </c>
      <c r="O82" s="29"/>
      <c r="P82" s="32" t="s">
        <v>146</v>
      </c>
      <c r="U82" s="32" t="s">
        <v>32</v>
      </c>
      <c r="V82" s="23" t="s">
        <v>147</v>
      </c>
      <c r="W82" s="32"/>
      <c r="AA82" s="31"/>
    </row>
    <row r="83" spans="1:27" ht="12.75">
      <c r="A83" s="21" t="s">
        <v>148</v>
      </c>
      <c r="B83" s="22" t="s">
        <v>149</v>
      </c>
      <c r="C83" s="22" t="s">
        <v>84</v>
      </c>
      <c r="D83" s="21" t="s">
        <v>21</v>
      </c>
      <c r="E83" s="21" t="s">
        <v>21</v>
      </c>
      <c r="F83" s="23" t="s">
        <v>22</v>
      </c>
      <c r="G83" s="29">
        <v>5.7</v>
      </c>
      <c r="H83" s="25">
        <f t="shared" si="8"/>
        <v>0.7558748556724915</v>
      </c>
      <c r="I83" s="29">
        <v>0.45</v>
      </c>
      <c r="J83" s="26">
        <f t="shared" si="6"/>
        <v>0.3157894736842105</v>
      </c>
      <c r="K83" s="24">
        <f t="shared" si="9"/>
        <v>160.44444444444443</v>
      </c>
      <c r="L83" s="24">
        <f t="shared" si="10"/>
        <v>4</v>
      </c>
      <c r="M83" s="38">
        <v>16</v>
      </c>
      <c r="N83" s="36" t="s">
        <v>150</v>
      </c>
      <c r="O83" s="29">
        <v>1</v>
      </c>
      <c r="P83" s="23" t="s">
        <v>151</v>
      </c>
      <c r="U83" s="32" t="s">
        <v>26</v>
      </c>
      <c r="V83" s="23" t="s">
        <v>148</v>
      </c>
      <c r="W83" s="23"/>
      <c r="AA83" s="31"/>
    </row>
    <row r="84" spans="1:27" ht="12.75">
      <c r="A84" s="21" t="s">
        <v>148</v>
      </c>
      <c r="B84" s="22" t="s">
        <v>149</v>
      </c>
      <c r="C84" s="22" t="s">
        <v>84</v>
      </c>
      <c r="D84" s="21" t="s">
        <v>21</v>
      </c>
      <c r="E84" s="21" t="s">
        <v>21</v>
      </c>
      <c r="F84" s="23" t="s">
        <v>22</v>
      </c>
      <c r="G84" s="29">
        <v>4.9</v>
      </c>
      <c r="H84" s="25">
        <f t="shared" si="8"/>
        <v>0.6901960800285137</v>
      </c>
      <c r="I84" s="29">
        <v>0.554321862524587</v>
      </c>
      <c r="J84" s="26">
        <f t="shared" si="6"/>
        <v>0.5306122448979591</v>
      </c>
      <c r="K84" s="24">
        <f t="shared" si="9"/>
        <v>78.13905325443791</v>
      </c>
      <c r="L84" s="24">
        <f t="shared" si="10"/>
        <v>4.69041575982343</v>
      </c>
      <c r="M84" s="38">
        <v>22</v>
      </c>
      <c r="N84" s="36" t="s">
        <v>152</v>
      </c>
      <c r="O84" s="29">
        <v>7</v>
      </c>
      <c r="P84" s="23" t="s">
        <v>151</v>
      </c>
      <c r="U84" s="32" t="s">
        <v>26</v>
      </c>
      <c r="V84" s="23" t="s">
        <v>148</v>
      </c>
      <c r="W84" s="23"/>
      <c r="AA84" s="31"/>
    </row>
    <row r="85" spans="1:27" ht="12.75">
      <c r="A85" s="21" t="s">
        <v>148</v>
      </c>
      <c r="B85" s="22" t="s">
        <v>149</v>
      </c>
      <c r="C85" s="22" t="s">
        <v>84</v>
      </c>
      <c r="D85" s="21" t="s">
        <v>21</v>
      </c>
      <c r="E85" s="21" t="s">
        <v>21</v>
      </c>
      <c r="F85" s="23" t="s">
        <v>22</v>
      </c>
      <c r="G85" s="29">
        <v>3.7</v>
      </c>
      <c r="H85" s="25">
        <f t="shared" si="8"/>
        <v>0.568201724066995</v>
      </c>
      <c r="I85" s="29">
        <v>0.28867513459481287</v>
      </c>
      <c r="J85" s="26">
        <f t="shared" si="6"/>
        <v>0.27027027027027023</v>
      </c>
      <c r="K85" s="24">
        <f t="shared" si="9"/>
        <v>164.28000000000003</v>
      </c>
      <c r="L85" s="24">
        <f t="shared" si="10"/>
        <v>3.4641016151377544</v>
      </c>
      <c r="M85" s="38">
        <v>12</v>
      </c>
      <c r="N85" s="36" t="s">
        <v>153</v>
      </c>
      <c r="O85" s="29" t="s">
        <v>33</v>
      </c>
      <c r="P85" s="23" t="s">
        <v>151</v>
      </c>
      <c r="U85" s="32" t="s">
        <v>26</v>
      </c>
      <c r="V85" s="23" t="s">
        <v>148</v>
      </c>
      <c r="W85" s="23"/>
      <c r="AA85" s="31"/>
    </row>
    <row r="86" spans="1:27" ht="12.75">
      <c r="A86" s="21" t="s">
        <v>148</v>
      </c>
      <c r="B86" s="22" t="s">
        <v>149</v>
      </c>
      <c r="C86" s="22" t="s">
        <v>84</v>
      </c>
      <c r="D86" s="21" t="s">
        <v>34</v>
      </c>
      <c r="E86" s="21" t="s">
        <v>35</v>
      </c>
      <c r="F86" s="23" t="s">
        <v>36</v>
      </c>
      <c r="G86" s="47">
        <v>0.94</v>
      </c>
      <c r="H86" s="25">
        <f t="shared" si="8"/>
        <v>-0.026872146400301365</v>
      </c>
      <c r="I86" s="47">
        <v>0.1</v>
      </c>
      <c r="J86" s="26">
        <f t="shared" si="6"/>
        <v>0.4255319148936171</v>
      </c>
      <c r="K86" s="24">
        <f t="shared" si="9"/>
        <v>88.35999999999997</v>
      </c>
      <c r="L86" s="24">
        <f t="shared" si="10"/>
        <v>4</v>
      </c>
      <c r="M86" s="33">
        <v>16</v>
      </c>
      <c r="N86" s="36" t="s">
        <v>150</v>
      </c>
      <c r="O86" s="29">
        <v>1</v>
      </c>
      <c r="P86" s="23" t="s">
        <v>151</v>
      </c>
      <c r="U86" s="32" t="s">
        <v>26</v>
      </c>
      <c r="V86" s="23" t="s">
        <v>148</v>
      </c>
      <c r="W86" s="23"/>
      <c r="AA86" s="31"/>
    </row>
    <row r="87" spans="1:27" ht="12.75">
      <c r="A87" s="21" t="s">
        <v>148</v>
      </c>
      <c r="B87" s="22" t="s">
        <v>149</v>
      </c>
      <c r="C87" s="22" t="s">
        <v>84</v>
      </c>
      <c r="D87" s="21" t="s">
        <v>34</v>
      </c>
      <c r="E87" s="21" t="s">
        <v>35</v>
      </c>
      <c r="F87" s="23" t="s">
        <v>36</v>
      </c>
      <c r="G87" s="47">
        <v>0.95</v>
      </c>
      <c r="H87" s="25">
        <f t="shared" si="8"/>
        <v>-0.022276394711152253</v>
      </c>
      <c r="I87" s="47">
        <v>0.08528028654224416</v>
      </c>
      <c r="J87" s="26">
        <f t="shared" si="6"/>
        <v>0.42105263157894735</v>
      </c>
      <c r="K87" s="24">
        <f t="shared" si="9"/>
        <v>124.09375000000004</v>
      </c>
      <c r="L87" s="24">
        <f t="shared" si="10"/>
        <v>4.69041575982343</v>
      </c>
      <c r="M87" s="33">
        <v>22</v>
      </c>
      <c r="N87" s="36" t="s">
        <v>152</v>
      </c>
      <c r="O87" s="29">
        <v>7</v>
      </c>
      <c r="P87" s="23" t="s">
        <v>151</v>
      </c>
      <c r="U87" s="32" t="s">
        <v>26</v>
      </c>
      <c r="V87" s="23" t="s">
        <v>148</v>
      </c>
      <c r="W87" s="23"/>
      <c r="AA87" s="31"/>
    </row>
    <row r="88" spans="1:27" ht="12.75">
      <c r="A88" s="21" t="s">
        <v>148</v>
      </c>
      <c r="B88" s="22" t="s">
        <v>149</v>
      </c>
      <c r="C88" s="22" t="s">
        <v>84</v>
      </c>
      <c r="D88" s="21" t="s">
        <v>34</v>
      </c>
      <c r="E88" s="21" t="s">
        <v>35</v>
      </c>
      <c r="F88" s="23" t="s">
        <v>36</v>
      </c>
      <c r="G88" s="35">
        <v>0.9</v>
      </c>
      <c r="H88" s="25">
        <f t="shared" si="8"/>
        <v>-0.045757490560675115</v>
      </c>
      <c r="I88" s="47">
        <v>0.057735026918962574</v>
      </c>
      <c r="J88" s="26">
        <f t="shared" si="6"/>
        <v>0.2222222222222222</v>
      </c>
      <c r="K88" s="24">
        <f t="shared" si="9"/>
        <v>243</v>
      </c>
      <c r="L88" s="24">
        <f t="shared" si="10"/>
        <v>3.4641016151377544</v>
      </c>
      <c r="M88" s="33">
        <v>12</v>
      </c>
      <c r="N88" s="36" t="s">
        <v>153</v>
      </c>
      <c r="O88" s="29" t="s">
        <v>33</v>
      </c>
      <c r="P88" s="23" t="s">
        <v>151</v>
      </c>
      <c r="U88" s="32" t="s">
        <v>26</v>
      </c>
      <c r="V88" s="23" t="s">
        <v>148</v>
      </c>
      <c r="W88" s="23"/>
      <c r="AA88" s="31"/>
    </row>
    <row r="89" spans="1:27" ht="12.75">
      <c r="A89" s="21" t="s">
        <v>148</v>
      </c>
      <c r="B89" s="22" t="s">
        <v>149</v>
      </c>
      <c r="C89" s="22" t="s">
        <v>84</v>
      </c>
      <c r="D89" s="21" t="s">
        <v>39</v>
      </c>
      <c r="E89" s="21" t="s">
        <v>39</v>
      </c>
      <c r="F89" s="23" t="s">
        <v>40</v>
      </c>
      <c r="G89" s="24">
        <v>0.41</v>
      </c>
      <c r="H89" s="25">
        <f t="shared" si="8"/>
        <v>-0.38721614328026455</v>
      </c>
      <c r="I89" s="24">
        <v>0.045</v>
      </c>
      <c r="J89" s="26">
        <f t="shared" si="6"/>
        <v>0.43902439024390244</v>
      </c>
      <c r="K89" s="24">
        <f t="shared" si="9"/>
        <v>83.01234567901234</v>
      </c>
      <c r="L89" s="24">
        <f t="shared" si="10"/>
        <v>4</v>
      </c>
      <c r="M89" s="27">
        <v>16</v>
      </c>
      <c r="N89" s="36" t="s">
        <v>150</v>
      </c>
      <c r="O89" s="29">
        <v>1</v>
      </c>
      <c r="P89" s="23" t="s">
        <v>151</v>
      </c>
      <c r="U89" s="32" t="s">
        <v>26</v>
      </c>
      <c r="V89" s="23" t="s">
        <v>148</v>
      </c>
      <c r="W89" s="23"/>
      <c r="AA89" s="31"/>
    </row>
    <row r="90" spans="1:27" ht="12.75">
      <c r="A90" s="21" t="s">
        <v>148</v>
      </c>
      <c r="B90" s="22" t="s">
        <v>149</v>
      </c>
      <c r="C90" s="22" t="s">
        <v>84</v>
      </c>
      <c r="D90" s="21" t="s">
        <v>39</v>
      </c>
      <c r="E90" s="21" t="s">
        <v>39</v>
      </c>
      <c r="F90" s="23" t="s">
        <v>40</v>
      </c>
      <c r="G90" s="24">
        <v>0.35</v>
      </c>
      <c r="H90" s="25">
        <f t="shared" si="8"/>
        <v>-0.4559319556497244</v>
      </c>
      <c r="I90" s="24">
        <v>0.025584085962673246</v>
      </c>
      <c r="J90" s="26">
        <f t="shared" si="6"/>
        <v>0.3428571428571428</v>
      </c>
      <c r="K90" s="24">
        <f t="shared" si="9"/>
        <v>187.15277777777786</v>
      </c>
      <c r="L90" s="24">
        <f t="shared" si="10"/>
        <v>4.69041575982343</v>
      </c>
      <c r="M90" s="27">
        <v>22</v>
      </c>
      <c r="N90" s="36" t="s">
        <v>152</v>
      </c>
      <c r="O90" s="29">
        <v>7</v>
      </c>
      <c r="P90" s="23" t="s">
        <v>151</v>
      </c>
      <c r="U90" s="32" t="s">
        <v>26</v>
      </c>
      <c r="V90" s="23" t="s">
        <v>148</v>
      </c>
      <c r="W90" s="23"/>
      <c r="AA90" s="31"/>
    </row>
    <row r="91" spans="1:27" ht="12.75">
      <c r="A91" s="21" t="s">
        <v>148</v>
      </c>
      <c r="B91" s="22" t="s">
        <v>149</v>
      </c>
      <c r="C91" s="22" t="s">
        <v>84</v>
      </c>
      <c r="D91" s="21" t="s">
        <v>39</v>
      </c>
      <c r="E91" s="21" t="s">
        <v>39</v>
      </c>
      <c r="F91" s="23" t="s">
        <v>40</v>
      </c>
      <c r="G91" s="24">
        <v>0.25</v>
      </c>
      <c r="H91" s="25">
        <f t="shared" si="8"/>
        <v>-0.6020599913279624</v>
      </c>
      <c r="I91" s="24">
        <v>0.0202072594216369</v>
      </c>
      <c r="J91" s="26">
        <f t="shared" si="6"/>
        <v>0.27999999999999997</v>
      </c>
      <c r="K91" s="24">
        <f t="shared" si="9"/>
        <v>153.06122448979593</v>
      </c>
      <c r="L91" s="24">
        <f t="shared" si="10"/>
        <v>3.4641016151377544</v>
      </c>
      <c r="M91" s="27">
        <v>12</v>
      </c>
      <c r="N91" s="36" t="s">
        <v>153</v>
      </c>
      <c r="O91" s="29" t="s">
        <v>33</v>
      </c>
      <c r="P91" s="23" t="s">
        <v>151</v>
      </c>
      <c r="U91" s="32" t="s">
        <v>26</v>
      </c>
      <c r="V91" s="23" t="s">
        <v>148</v>
      </c>
      <c r="W91" s="23"/>
      <c r="AA91" s="31"/>
    </row>
    <row r="92" spans="1:26" ht="12.75">
      <c r="A92" s="39" t="s">
        <v>154</v>
      </c>
      <c r="B92" s="62" t="s">
        <v>155</v>
      </c>
      <c r="C92" s="32" t="s">
        <v>156</v>
      </c>
      <c r="D92" s="39" t="s">
        <v>157</v>
      </c>
      <c r="E92" s="21" t="s">
        <v>35</v>
      </c>
      <c r="F92" s="39" t="s">
        <v>36</v>
      </c>
      <c r="G92" s="26">
        <f>'[1]Nicotine1'!$B$20</f>
        <v>16.3</v>
      </c>
      <c r="H92" s="40">
        <f>LOG10(G92)</f>
        <v>1.212187604403958</v>
      </c>
      <c r="I92" s="26" t="s">
        <v>68</v>
      </c>
      <c r="J92" s="26" t="e">
        <f t="shared" si="6"/>
        <v>#VALUE!</v>
      </c>
      <c r="K92" s="42" t="e">
        <f t="shared" si="9"/>
        <v>#VALUE!</v>
      </c>
      <c r="L92" s="42">
        <f t="shared" si="10"/>
        <v>3.605551275463989</v>
      </c>
      <c r="M92" s="43">
        <v>13</v>
      </c>
      <c r="N92" s="39" t="s">
        <v>158</v>
      </c>
      <c r="O92" s="60"/>
      <c r="P92" s="39" t="s">
        <v>159</v>
      </c>
      <c r="Q92" s="43"/>
      <c r="R92" s="39" t="s">
        <v>160</v>
      </c>
      <c r="S92" s="39"/>
      <c r="T92" s="32"/>
      <c r="U92" s="32"/>
      <c r="V92" s="32"/>
      <c r="W92" s="32"/>
      <c r="X92" s="32"/>
      <c r="Y92" s="32"/>
      <c r="Z92" s="32"/>
    </row>
    <row r="93" spans="1:26" ht="38.25">
      <c r="A93" s="39" t="s">
        <v>154</v>
      </c>
      <c r="B93" s="62" t="s">
        <v>155</v>
      </c>
      <c r="C93" s="32" t="s">
        <v>156</v>
      </c>
      <c r="D93" s="39" t="s">
        <v>157</v>
      </c>
      <c r="E93" s="21" t="s">
        <v>35</v>
      </c>
      <c r="F93" s="39" t="s">
        <v>36</v>
      </c>
      <c r="G93" s="26">
        <v>24.8</v>
      </c>
      <c r="H93" s="40">
        <f>LOG10(G93)</f>
        <v>1.3944516808262162</v>
      </c>
      <c r="I93" s="26">
        <v>1.743998856106566</v>
      </c>
      <c r="J93" s="26">
        <f t="shared" si="6"/>
        <v>0.4039722050159205</v>
      </c>
      <c r="K93" s="42">
        <f t="shared" si="9"/>
        <v>202.2138836472657</v>
      </c>
      <c r="L93" s="42">
        <f t="shared" si="10"/>
        <v>5.744562646538029</v>
      </c>
      <c r="M93" s="43">
        <v>33</v>
      </c>
      <c r="N93" s="44" t="s">
        <v>161</v>
      </c>
      <c r="O93" s="60"/>
      <c r="P93" s="39" t="s">
        <v>162</v>
      </c>
      <c r="Q93" s="43"/>
      <c r="R93" s="39" t="s">
        <v>163</v>
      </c>
      <c r="S93" s="39"/>
      <c r="T93" s="32"/>
      <c r="U93" s="32"/>
      <c r="V93" s="32"/>
      <c r="W93" s="32"/>
      <c r="X93" s="32"/>
      <c r="Y93" s="32"/>
      <c r="Z93" s="32"/>
    </row>
    <row r="94" spans="1:26" ht="12.75">
      <c r="A94" s="39" t="s">
        <v>164</v>
      </c>
      <c r="B94" s="39" t="s">
        <v>165</v>
      </c>
      <c r="C94" s="32" t="s">
        <v>166</v>
      </c>
      <c r="D94" s="39" t="s">
        <v>100</v>
      </c>
      <c r="E94" s="21" t="s">
        <v>101</v>
      </c>
      <c r="F94" s="63" t="s">
        <v>167</v>
      </c>
      <c r="G94" s="26">
        <f>'[2]Dapsone1'!$I$20</f>
        <v>10.770833333333334</v>
      </c>
      <c r="H94" s="26">
        <f aca="true" t="shared" si="11" ref="H94:H99">LOG(G94)</f>
        <v>1.0322493057183553</v>
      </c>
      <c r="I94" s="26">
        <v>1.5223546424560244</v>
      </c>
      <c r="J94" s="26">
        <f t="shared" si="6"/>
        <v>0.3462120307844689</v>
      </c>
      <c r="K94" s="26">
        <f t="shared" si="9"/>
        <v>50.05724452212992</v>
      </c>
      <c r="L94" s="59">
        <f t="shared" si="10"/>
        <v>2.449489742783178</v>
      </c>
      <c r="M94" s="43">
        <v>6</v>
      </c>
      <c r="N94" s="39">
        <v>1</v>
      </c>
      <c r="O94" s="60">
        <v>2.388888888888889</v>
      </c>
      <c r="P94" s="39" t="s">
        <v>168</v>
      </c>
      <c r="Q94" s="43"/>
      <c r="R94" s="39" t="s">
        <v>169</v>
      </c>
      <c r="S94" s="39"/>
      <c r="T94" s="32"/>
      <c r="U94" s="32"/>
      <c r="V94" s="32"/>
      <c r="W94" s="32"/>
      <c r="X94" s="32"/>
      <c r="Y94" s="32"/>
      <c r="Z94" s="32"/>
    </row>
    <row r="95" spans="1:26" ht="12.75">
      <c r="A95" s="39" t="s">
        <v>164</v>
      </c>
      <c r="B95" s="39" t="s">
        <v>165</v>
      </c>
      <c r="C95" s="32" t="s">
        <v>166</v>
      </c>
      <c r="D95" s="39" t="s">
        <v>100</v>
      </c>
      <c r="E95" s="21" t="s">
        <v>101</v>
      </c>
      <c r="F95" s="63" t="s">
        <v>167</v>
      </c>
      <c r="G95" s="26">
        <f>'[2]Dapsone2'!$F$10</f>
        <v>24.615384615384617</v>
      </c>
      <c r="H95" s="26">
        <f t="shared" si="11"/>
        <v>1.3912066260130693</v>
      </c>
      <c r="I95" s="26">
        <v>1.4965034965034965</v>
      </c>
      <c r="J95" s="26">
        <f t="shared" si="6"/>
        <v>0.3039772727272727</v>
      </c>
      <c r="K95" s="26">
        <f t="shared" si="9"/>
        <v>270.5563804699101</v>
      </c>
      <c r="L95" s="59">
        <f t="shared" si="10"/>
        <v>5</v>
      </c>
      <c r="M95" s="43">
        <v>25</v>
      </c>
      <c r="N95" s="39" t="s">
        <v>55</v>
      </c>
      <c r="O95" s="60"/>
      <c r="P95" s="39" t="s">
        <v>170</v>
      </c>
      <c r="Q95" s="43"/>
      <c r="R95" s="39" t="s">
        <v>171</v>
      </c>
      <c r="S95" s="39"/>
      <c r="T95" s="32"/>
      <c r="U95" s="32"/>
      <c r="V95" s="32"/>
      <c r="W95" s="32"/>
      <c r="X95" s="32"/>
      <c r="Y95" s="32"/>
      <c r="Z95" s="32"/>
    </row>
    <row r="96" spans="1:26" ht="12.75">
      <c r="A96" s="39" t="s">
        <v>164</v>
      </c>
      <c r="B96" s="39" t="s">
        <v>165</v>
      </c>
      <c r="C96" s="32" t="s">
        <v>166</v>
      </c>
      <c r="D96" s="39" t="s">
        <v>100</v>
      </c>
      <c r="E96" s="21" t="s">
        <v>101</v>
      </c>
      <c r="F96" s="63" t="s">
        <v>167</v>
      </c>
      <c r="G96" s="26">
        <f>'[2]Dapsone4'!$D$16</f>
        <v>27.977303070761018</v>
      </c>
      <c r="H96" s="26">
        <f t="shared" si="11"/>
        <v>1.4468058474703966</v>
      </c>
      <c r="I96" s="26">
        <v>2.5048296993266645</v>
      </c>
      <c r="J96" s="26">
        <f t="shared" si="6"/>
        <v>0.23687617223952745</v>
      </c>
      <c r="K96" s="26">
        <f t="shared" si="9"/>
        <v>124.75423199125049</v>
      </c>
      <c r="L96" s="59">
        <f t="shared" si="10"/>
        <v>2.6457513110645907</v>
      </c>
      <c r="M96" s="43">
        <v>7</v>
      </c>
      <c r="N96" s="39" t="s">
        <v>55</v>
      </c>
      <c r="O96" s="60"/>
      <c r="P96" s="39" t="s">
        <v>172</v>
      </c>
      <c r="Q96" s="43"/>
      <c r="R96" s="39" t="s">
        <v>173</v>
      </c>
      <c r="S96" s="39"/>
      <c r="T96" s="32"/>
      <c r="U96" s="32"/>
      <c r="V96" s="32"/>
      <c r="W96" s="32"/>
      <c r="X96" s="32"/>
      <c r="Y96" s="32"/>
      <c r="Z96" s="32"/>
    </row>
    <row r="97" spans="1:26" ht="12.75">
      <c r="A97" s="39" t="s">
        <v>164</v>
      </c>
      <c r="B97" s="39" t="s">
        <v>165</v>
      </c>
      <c r="C97" s="32" t="s">
        <v>166</v>
      </c>
      <c r="D97" s="39" t="s">
        <v>100</v>
      </c>
      <c r="E97" s="21" t="s">
        <v>101</v>
      </c>
      <c r="F97" s="63" t="s">
        <v>167</v>
      </c>
      <c r="G97" s="26">
        <f>'[2]Dapsone3'!$F$27</f>
        <v>16.714285714285715</v>
      </c>
      <c r="H97" s="26">
        <f t="shared" si="11"/>
        <v>1.2230878217319048</v>
      </c>
      <c r="I97" s="26">
        <v>1.1215271415581973</v>
      </c>
      <c r="J97" s="26">
        <f t="shared" si="6"/>
        <v>0.36752136752136755</v>
      </c>
      <c r="K97" s="26">
        <f t="shared" si="9"/>
        <v>222.10383991346674</v>
      </c>
      <c r="L97" s="59">
        <f t="shared" si="10"/>
        <v>5.477225575051661</v>
      </c>
      <c r="M97" s="43">
        <v>30</v>
      </c>
      <c r="N97" s="39" t="s">
        <v>55</v>
      </c>
      <c r="O97" s="60"/>
      <c r="P97" s="39" t="s">
        <v>174</v>
      </c>
      <c r="Q97" s="43"/>
      <c r="R97" s="39" t="s">
        <v>175</v>
      </c>
      <c r="S97" s="39"/>
      <c r="T97" s="32"/>
      <c r="U97" s="32"/>
      <c r="V97" s="32"/>
      <c r="W97" s="32"/>
      <c r="X97" s="32"/>
      <c r="Y97" s="32"/>
      <c r="Z97" s="32"/>
    </row>
    <row r="98" spans="1:26" ht="12.75">
      <c r="A98" s="39" t="s">
        <v>164</v>
      </c>
      <c r="B98" s="39" t="s">
        <v>165</v>
      </c>
      <c r="C98" s="32" t="s">
        <v>166</v>
      </c>
      <c r="D98" s="39" t="s">
        <v>176</v>
      </c>
      <c r="E98" s="21" t="s">
        <v>21</v>
      </c>
      <c r="F98" s="32" t="s">
        <v>136</v>
      </c>
      <c r="G98" s="26">
        <v>1.74</v>
      </c>
      <c r="H98" s="26">
        <f t="shared" si="11"/>
        <v>0.24054924828259971</v>
      </c>
      <c r="I98" s="26">
        <v>0.29591665493288205</v>
      </c>
      <c r="J98" s="26">
        <f t="shared" si="6"/>
        <v>0.41657747757287567</v>
      </c>
      <c r="K98" s="26">
        <f t="shared" si="9"/>
        <v>34.57480015226505</v>
      </c>
      <c r="L98" s="59">
        <f t="shared" si="10"/>
        <v>2.449489742783178</v>
      </c>
      <c r="M98" s="43">
        <v>6</v>
      </c>
      <c r="N98" s="39" t="s">
        <v>177</v>
      </c>
      <c r="O98" s="60">
        <v>2.388888888888889</v>
      </c>
      <c r="P98" s="39" t="s">
        <v>168</v>
      </c>
      <c r="Q98" s="43"/>
      <c r="R98" s="39" t="s">
        <v>169</v>
      </c>
      <c r="S98" s="39"/>
      <c r="T98" s="32"/>
      <c r="U98" s="32"/>
      <c r="V98" s="32"/>
      <c r="W98" s="32"/>
      <c r="X98" s="32"/>
      <c r="Y98" s="32"/>
      <c r="Z98" s="32"/>
    </row>
    <row r="99" spans="1:26" ht="12.75">
      <c r="A99" s="39" t="s">
        <v>164</v>
      </c>
      <c r="B99" s="39" t="s">
        <v>165</v>
      </c>
      <c r="C99" s="32" t="s">
        <v>166</v>
      </c>
      <c r="D99" s="39" t="s">
        <v>178</v>
      </c>
      <c r="E99" s="21" t="s">
        <v>21</v>
      </c>
      <c r="F99" s="32" t="s">
        <v>136</v>
      </c>
      <c r="G99" s="26">
        <v>1.1571428571428573</v>
      </c>
      <c r="H99" s="26">
        <f t="shared" si="11"/>
        <v>0.06338697886439296</v>
      </c>
      <c r="I99" s="26">
        <v>0.07824607964359516</v>
      </c>
      <c r="J99" s="26">
        <f t="shared" si="6"/>
        <v>0.37037037037037035</v>
      </c>
      <c r="K99" s="26">
        <f t="shared" si="9"/>
        <v>218.70000000000005</v>
      </c>
      <c r="L99" s="59">
        <f t="shared" si="10"/>
        <v>5.477225575051661</v>
      </c>
      <c r="M99" s="43">
        <v>30</v>
      </c>
      <c r="N99" s="39" t="s">
        <v>55</v>
      </c>
      <c r="O99" s="60"/>
      <c r="P99" s="39" t="s">
        <v>174</v>
      </c>
      <c r="Q99" s="43"/>
      <c r="R99" s="39" t="s">
        <v>175</v>
      </c>
      <c r="S99" s="39"/>
      <c r="T99" s="32"/>
      <c r="U99" s="32"/>
      <c r="V99" s="32"/>
      <c r="W99" s="32"/>
      <c r="X99" s="32"/>
      <c r="Y99" s="32"/>
      <c r="Z99" s="32"/>
    </row>
    <row r="100" spans="1:26" ht="12.75">
      <c r="A100" s="39" t="s">
        <v>164</v>
      </c>
      <c r="B100" s="39" t="s">
        <v>165</v>
      </c>
      <c r="C100" s="32" t="s">
        <v>166</v>
      </c>
      <c r="D100" s="50" t="s">
        <v>179</v>
      </c>
      <c r="E100" s="50" t="s">
        <v>138</v>
      </c>
      <c r="F100" s="62" t="s">
        <v>139</v>
      </c>
      <c r="G100" s="26">
        <v>0.20476190476190473</v>
      </c>
      <c r="H100" s="26">
        <v>-0.6887508391543329</v>
      </c>
      <c r="I100" s="26">
        <v>0.019318510229584366</v>
      </c>
      <c r="J100" s="26">
        <f t="shared" si="6"/>
        <v>0.24961661607499736</v>
      </c>
      <c r="K100" s="24">
        <f t="shared" si="9"/>
        <v>112.3443037974671</v>
      </c>
      <c r="L100" s="24">
        <f t="shared" si="10"/>
        <v>2.6457513110645907</v>
      </c>
      <c r="M100" s="43">
        <v>7</v>
      </c>
      <c r="N100" s="39" t="s">
        <v>180</v>
      </c>
      <c r="O100" s="60" t="s">
        <v>181</v>
      </c>
      <c r="P100" s="39" t="s">
        <v>168</v>
      </c>
      <c r="Q100" s="43"/>
      <c r="R100" s="39" t="s">
        <v>169</v>
      </c>
      <c r="S100" s="39"/>
      <c r="T100" s="32"/>
      <c r="U100" s="32"/>
      <c r="V100" s="32"/>
      <c r="W100" s="32"/>
      <c r="X100" s="32"/>
      <c r="Y100" s="32"/>
      <c r="Z100" s="32"/>
    </row>
    <row r="101" spans="1:26" ht="12.75">
      <c r="A101" s="39" t="s">
        <v>164</v>
      </c>
      <c r="B101" s="39" t="s">
        <v>165</v>
      </c>
      <c r="C101" s="32" t="s">
        <v>166</v>
      </c>
      <c r="D101" s="50" t="s">
        <v>179</v>
      </c>
      <c r="E101" s="50" t="s">
        <v>138</v>
      </c>
      <c r="F101" s="62" t="s">
        <v>139</v>
      </c>
      <c r="G101" s="26">
        <v>0.2475</v>
      </c>
      <c r="H101" s="26">
        <v>-0.6064247967304125</v>
      </c>
      <c r="I101" s="26">
        <v>0.038988958550965326</v>
      </c>
      <c r="J101" s="26">
        <f t="shared" si="6"/>
        <v>0.3522503502702229</v>
      </c>
      <c r="K101" s="24">
        <f t="shared" si="9"/>
        <v>40.296482412060215</v>
      </c>
      <c r="L101" s="24">
        <f t="shared" si="10"/>
        <v>2.23606797749979</v>
      </c>
      <c r="M101" s="43">
        <v>5</v>
      </c>
      <c r="N101" s="39" t="s">
        <v>182</v>
      </c>
      <c r="O101" s="60">
        <v>3.15</v>
      </c>
      <c r="P101" s="39" t="s">
        <v>168</v>
      </c>
      <c r="Q101" s="43"/>
      <c r="R101" s="39" t="s">
        <v>169</v>
      </c>
      <c r="S101" s="39"/>
      <c r="T101" s="32"/>
      <c r="U101" s="32"/>
      <c r="V101" s="32"/>
      <c r="W101" s="32"/>
      <c r="X101" s="32"/>
      <c r="Y101" s="32"/>
      <c r="Z101" s="32"/>
    </row>
    <row r="102" spans="1:26" ht="12.75">
      <c r="A102" s="39" t="s">
        <v>164</v>
      </c>
      <c r="B102" s="39" t="s">
        <v>165</v>
      </c>
      <c r="C102" s="32" t="s">
        <v>166</v>
      </c>
      <c r="D102" s="39" t="s">
        <v>137</v>
      </c>
      <c r="E102" s="50" t="s">
        <v>138</v>
      </c>
      <c r="F102" s="62" t="s">
        <v>139</v>
      </c>
      <c r="G102" s="26">
        <f>'[2]Dapsone4'!$F$16</f>
        <v>1.5327102803738315</v>
      </c>
      <c r="H102" s="26">
        <f>LOG(G102)</f>
        <v>0.18546007036248816</v>
      </c>
      <c r="I102" s="26">
        <v>0.11833467145615992</v>
      </c>
      <c r="J102" s="26">
        <f t="shared" si="6"/>
        <v>0.20426829268292684</v>
      </c>
      <c r="K102" s="26">
        <f t="shared" si="9"/>
        <v>167.7629761639563</v>
      </c>
      <c r="L102" s="59">
        <f t="shared" si="10"/>
        <v>2.6457513110645907</v>
      </c>
      <c r="M102" s="43">
        <v>7</v>
      </c>
      <c r="N102" s="39" t="s">
        <v>55</v>
      </c>
      <c r="O102" s="60"/>
      <c r="P102" s="39" t="s">
        <v>172</v>
      </c>
      <c r="Q102" s="43"/>
      <c r="R102" s="39" t="s">
        <v>173</v>
      </c>
      <c r="S102" s="39"/>
      <c r="T102" s="32"/>
      <c r="U102" s="32"/>
      <c r="V102" s="32"/>
      <c r="W102" s="32"/>
      <c r="X102" s="32"/>
      <c r="Y102" s="32"/>
      <c r="Z102" s="32"/>
    </row>
    <row r="103" spans="1:26" ht="12.75">
      <c r="A103" s="39" t="s">
        <v>164</v>
      </c>
      <c r="B103" s="39" t="s">
        <v>165</v>
      </c>
      <c r="C103" s="32" t="s">
        <v>166</v>
      </c>
      <c r="D103" s="50" t="s">
        <v>179</v>
      </c>
      <c r="E103" s="50" t="s">
        <v>138</v>
      </c>
      <c r="F103" s="62" t="s">
        <v>139</v>
      </c>
      <c r="G103" s="26">
        <v>1.006993006993007</v>
      </c>
      <c r="H103" s="26">
        <v>0.0030264546301878867</v>
      </c>
      <c r="I103" s="26">
        <v>0.033566433566433566</v>
      </c>
      <c r="J103" s="26">
        <f t="shared" si="6"/>
        <v>0.16666666666666666</v>
      </c>
      <c r="K103" s="26">
        <v>900</v>
      </c>
      <c r="L103" s="59">
        <v>5</v>
      </c>
      <c r="M103" s="43">
        <v>25</v>
      </c>
      <c r="N103" s="39" t="s">
        <v>55</v>
      </c>
      <c r="O103" s="60"/>
      <c r="P103" s="39" t="s">
        <v>170</v>
      </c>
      <c r="Q103" s="43"/>
      <c r="R103" s="39" t="s">
        <v>171</v>
      </c>
      <c r="S103" s="39"/>
      <c r="T103" s="32"/>
      <c r="U103" s="32"/>
      <c r="V103" s="32"/>
      <c r="W103" s="32"/>
      <c r="X103" s="32"/>
      <c r="Y103" s="32"/>
      <c r="Z103" s="32"/>
    </row>
    <row r="104" spans="1:26" ht="12.75">
      <c r="A104" s="39" t="s">
        <v>164</v>
      </c>
      <c r="B104" s="39" t="s">
        <v>165</v>
      </c>
      <c r="C104" s="32" t="s">
        <v>166</v>
      </c>
      <c r="D104" s="39" t="s">
        <v>183</v>
      </c>
      <c r="E104" s="50" t="s">
        <v>138</v>
      </c>
      <c r="F104" s="62" t="s">
        <v>139</v>
      </c>
      <c r="G104" s="26">
        <f>'[2]Dapsone3'!$D$27</f>
        <v>0.5650000000000001</v>
      </c>
      <c r="H104" s="26">
        <f aca="true" t="shared" si="12" ref="H104:H150">LOG(G104)</f>
        <v>-0.24795155218056142</v>
      </c>
      <c r="I104" s="26">
        <v>0.026212436680604384</v>
      </c>
      <c r="J104" s="26">
        <f t="shared" si="6"/>
        <v>0.25410872313527183</v>
      </c>
      <c r="K104" s="26">
        <f>(G104/I104)^2</f>
        <v>464.6031038835672</v>
      </c>
      <c r="L104" s="59">
        <f aca="true" t="shared" si="13" ref="L104:L124">M104^0.5</f>
        <v>5.477225575051661</v>
      </c>
      <c r="M104" s="43">
        <v>30</v>
      </c>
      <c r="N104" s="39" t="s">
        <v>55</v>
      </c>
      <c r="O104" s="60"/>
      <c r="P104" s="39" t="s">
        <v>174</v>
      </c>
      <c r="Q104" s="43"/>
      <c r="R104" s="39" t="s">
        <v>175</v>
      </c>
      <c r="S104" s="39"/>
      <c r="T104" s="32"/>
      <c r="U104" s="32"/>
      <c r="V104" s="32"/>
      <c r="W104" s="32"/>
      <c r="X104" s="32"/>
      <c r="Y104" s="32"/>
      <c r="Z104" s="32"/>
    </row>
    <row r="105" spans="1:26" ht="12.75">
      <c r="A105" s="39" t="s">
        <v>164</v>
      </c>
      <c r="B105" s="39" t="s">
        <v>165</v>
      </c>
      <c r="C105" s="32" t="s">
        <v>166</v>
      </c>
      <c r="D105" s="39" t="s">
        <v>34</v>
      </c>
      <c r="E105" s="21" t="s">
        <v>35</v>
      </c>
      <c r="F105" s="39" t="s">
        <v>36</v>
      </c>
      <c r="G105" s="26">
        <f>'[2]Dapsone1'!$J$20</f>
        <v>24.583333333333332</v>
      </c>
      <c r="H105" s="26">
        <f t="shared" si="12"/>
        <v>1.390640769930538</v>
      </c>
      <c r="I105" s="26">
        <v>2.467443571346216</v>
      </c>
      <c r="J105" s="26">
        <f t="shared" si="6"/>
        <v>0.24585672076917348</v>
      </c>
      <c r="K105" s="26">
        <f t="shared" si="9"/>
        <v>99.26292784859807</v>
      </c>
      <c r="L105" s="59">
        <f t="shared" si="13"/>
        <v>2.449489742783178</v>
      </c>
      <c r="M105" s="43">
        <v>6</v>
      </c>
      <c r="N105" s="39" t="s">
        <v>177</v>
      </c>
      <c r="O105" s="60">
        <v>2.388888888888889</v>
      </c>
      <c r="P105" s="39" t="s">
        <v>168</v>
      </c>
      <c r="Q105" s="43"/>
      <c r="R105" s="39" t="s">
        <v>169</v>
      </c>
      <c r="S105" s="39"/>
      <c r="T105" s="32"/>
      <c r="U105" s="32"/>
      <c r="V105" s="32"/>
      <c r="W105" s="32"/>
      <c r="X105" s="32"/>
      <c r="Y105" s="32"/>
      <c r="Z105" s="32"/>
    </row>
    <row r="106" spans="1:26" ht="12.75">
      <c r="A106" s="39" t="s">
        <v>164</v>
      </c>
      <c r="B106" s="39" t="s">
        <v>165</v>
      </c>
      <c r="C106" s="32" t="s">
        <v>166</v>
      </c>
      <c r="D106" s="39" t="s">
        <v>34</v>
      </c>
      <c r="E106" s="21" t="s">
        <v>35</v>
      </c>
      <c r="F106" s="39" t="s">
        <v>36</v>
      </c>
      <c r="G106" s="26">
        <f>'[2]Dapsone2'!$G$10</f>
        <v>17.8</v>
      </c>
      <c r="H106" s="26">
        <f t="shared" si="12"/>
        <v>1.250420002308894</v>
      </c>
      <c r="I106" s="26">
        <v>0.88</v>
      </c>
      <c r="J106" s="26">
        <f t="shared" si="6"/>
        <v>0.24719101123595508</v>
      </c>
      <c r="K106" s="26">
        <f t="shared" si="9"/>
        <v>409.14256198347107</v>
      </c>
      <c r="L106" s="59">
        <f t="shared" si="13"/>
        <v>5</v>
      </c>
      <c r="M106" s="43">
        <v>25</v>
      </c>
      <c r="N106" s="39" t="s">
        <v>55</v>
      </c>
      <c r="O106" s="60"/>
      <c r="P106" s="39" t="s">
        <v>170</v>
      </c>
      <c r="Q106" s="43"/>
      <c r="R106" s="39" t="s">
        <v>171</v>
      </c>
      <c r="S106" s="39"/>
      <c r="T106" s="32"/>
      <c r="U106" s="32"/>
      <c r="V106" s="32"/>
      <c r="W106" s="32"/>
      <c r="X106" s="32"/>
      <c r="Y106" s="32"/>
      <c r="Z106" s="32"/>
    </row>
    <row r="107" spans="1:26" ht="12.75">
      <c r="A107" s="39" t="s">
        <v>164</v>
      </c>
      <c r="B107" s="39" t="s">
        <v>165</v>
      </c>
      <c r="C107" s="32" t="s">
        <v>166</v>
      </c>
      <c r="D107" s="39" t="s">
        <v>34</v>
      </c>
      <c r="E107" s="21" t="s">
        <v>35</v>
      </c>
      <c r="F107" s="39" t="s">
        <v>36</v>
      </c>
      <c r="G107" s="26">
        <f>'[2]Dapsone4'!$B$16</f>
        <v>30.25714285714286</v>
      </c>
      <c r="H107" s="26">
        <f t="shared" si="12"/>
        <v>1.4808279157572095</v>
      </c>
      <c r="I107" s="26">
        <v>2.0880450121558933</v>
      </c>
      <c r="J107" s="26">
        <f t="shared" si="6"/>
        <v>0.18258326156427448</v>
      </c>
      <c r="K107" s="26">
        <f t="shared" si="9"/>
        <v>209.979123433868</v>
      </c>
      <c r="L107" s="59">
        <f t="shared" si="13"/>
        <v>2.6457513110645907</v>
      </c>
      <c r="M107" s="43">
        <v>7</v>
      </c>
      <c r="N107" s="39" t="s">
        <v>55</v>
      </c>
      <c r="O107" s="60"/>
      <c r="P107" s="39" t="s">
        <v>172</v>
      </c>
      <c r="Q107" s="43"/>
      <c r="R107" s="39" t="s">
        <v>173</v>
      </c>
      <c r="S107" s="39"/>
      <c r="T107" s="32"/>
      <c r="U107" s="32"/>
      <c r="V107" s="32"/>
      <c r="W107" s="32"/>
      <c r="X107" s="32"/>
      <c r="Y107" s="32"/>
      <c r="Z107" s="32"/>
    </row>
    <row r="108" spans="1:26" ht="12.75">
      <c r="A108" s="39" t="s">
        <v>164</v>
      </c>
      <c r="B108" s="39" t="s">
        <v>165</v>
      </c>
      <c r="C108" s="32" t="s">
        <v>166</v>
      </c>
      <c r="D108" s="39" t="s">
        <v>184</v>
      </c>
      <c r="E108" s="21" t="s">
        <v>35</v>
      </c>
      <c r="F108" s="39" t="s">
        <v>36</v>
      </c>
      <c r="G108" s="26">
        <f>'[2]Dapsone3'!$G$27</f>
        <v>25</v>
      </c>
      <c r="H108" s="26">
        <f t="shared" si="12"/>
        <v>1.3979400086720377</v>
      </c>
      <c r="I108" s="26">
        <v>2.1908902300206643</v>
      </c>
      <c r="J108" s="26">
        <f t="shared" si="6"/>
        <v>0.48</v>
      </c>
      <c r="K108" s="26">
        <f t="shared" si="9"/>
        <v>130.20833333333334</v>
      </c>
      <c r="L108" s="59">
        <f t="shared" si="13"/>
        <v>5.477225575051661</v>
      </c>
      <c r="M108" s="43">
        <v>30</v>
      </c>
      <c r="N108" s="39" t="s">
        <v>55</v>
      </c>
      <c r="O108" s="60"/>
      <c r="P108" s="39" t="s">
        <v>174</v>
      </c>
      <c r="Q108" s="43"/>
      <c r="R108" s="39" t="s">
        <v>175</v>
      </c>
      <c r="S108" s="39"/>
      <c r="T108" s="32"/>
      <c r="U108" s="32"/>
      <c r="V108" s="32"/>
      <c r="W108" s="32"/>
      <c r="X108" s="32"/>
      <c r="Y108" s="32"/>
      <c r="Z108" s="32"/>
    </row>
    <row r="109" spans="1:26" ht="12.75">
      <c r="A109" s="39" t="s">
        <v>164</v>
      </c>
      <c r="B109" s="39" t="s">
        <v>165</v>
      </c>
      <c r="C109" s="32" t="s">
        <v>166</v>
      </c>
      <c r="D109" s="39" t="s">
        <v>41</v>
      </c>
      <c r="E109" s="21" t="s">
        <v>39</v>
      </c>
      <c r="F109" s="39" t="s">
        <v>40</v>
      </c>
      <c r="G109" s="26">
        <f>'[2]Dapsone1'!$L$20</f>
        <v>3.435</v>
      </c>
      <c r="H109" s="26">
        <f t="shared" si="12"/>
        <v>0.5359267413955693</v>
      </c>
      <c r="I109" s="26">
        <v>0.7234120540881247</v>
      </c>
      <c r="J109" s="26">
        <f t="shared" si="6"/>
        <v>0.5158632914976916</v>
      </c>
      <c r="K109" s="26">
        <f t="shared" si="9"/>
        <v>22.54664883198778</v>
      </c>
      <c r="L109" s="59">
        <f t="shared" si="13"/>
        <v>2.449489742783178</v>
      </c>
      <c r="M109" s="43">
        <v>6</v>
      </c>
      <c r="N109" s="39" t="s">
        <v>177</v>
      </c>
      <c r="O109" s="60">
        <v>2.388888888888889</v>
      </c>
      <c r="P109" s="39" t="s">
        <v>168</v>
      </c>
      <c r="Q109" s="43"/>
      <c r="R109" s="39" t="s">
        <v>169</v>
      </c>
      <c r="S109" s="39"/>
      <c r="T109" s="32"/>
      <c r="U109" s="32"/>
      <c r="V109" s="32"/>
      <c r="W109" s="32"/>
      <c r="X109" s="32"/>
      <c r="Y109" s="32"/>
      <c r="Z109" s="32"/>
    </row>
    <row r="110" spans="1:26" ht="12.75">
      <c r="A110" s="39" t="s">
        <v>164</v>
      </c>
      <c r="B110" s="39" t="s">
        <v>165</v>
      </c>
      <c r="C110" s="32" t="s">
        <v>166</v>
      </c>
      <c r="D110" s="39" t="s">
        <v>41</v>
      </c>
      <c r="E110" s="21" t="s">
        <v>39</v>
      </c>
      <c r="F110" s="39" t="s">
        <v>40</v>
      </c>
      <c r="G110" s="26">
        <f>'[2]Dapsone2'!$H$10</f>
        <v>1.06</v>
      </c>
      <c r="H110" s="26">
        <f t="shared" si="12"/>
        <v>0.02530586526477026</v>
      </c>
      <c r="I110" s="26">
        <v>0.024</v>
      </c>
      <c r="J110" s="26">
        <f t="shared" si="6"/>
        <v>0.11320754716981131</v>
      </c>
      <c r="K110" s="26">
        <f t="shared" si="9"/>
        <v>1950.6944444444448</v>
      </c>
      <c r="L110" s="59">
        <f t="shared" si="13"/>
        <v>5</v>
      </c>
      <c r="M110" s="43">
        <v>25</v>
      </c>
      <c r="N110" s="39" t="s">
        <v>55</v>
      </c>
      <c r="O110" s="60"/>
      <c r="P110" s="39" t="s">
        <v>170</v>
      </c>
      <c r="Q110" s="43"/>
      <c r="R110" s="39" t="s">
        <v>171</v>
      </c>
      <c r="S110" s="39"/>
      <c r="T110" s="32"/>
      <c r="U110" s="32"/>
      <c r="V110" s="32"/>
      <c r="W110" s="32"/>
      <c r="X110" s="32"/>
      <c r="Y110" s="32"/>
      <c r="Z110" s="32"/>
    </row>
    <row r="111" spans="1:26" ht="12.75">
      <c r="A111" s="39" t="s">
        <v>185</v>
      </c>
      <c r="B111" s="39" t="s">
        <v>186</v>
      </c>
      <c r="C111" s="22" t="s">
        <v>57</v>
      </c>
      <c r="D111" s="39" t="s">
        <v>187</v>
      </c>
      <c r="E111" s="21" t="s">
        <v>101</v>
      </c>
      <c r="F111" s="62" t="s">
        <v>188</v>
      </c>
      <c r="G111" s="39">
        <v>7.56</v>
      </c>
      <c r="H111" s="26">
        <f t="shared" si="12"/>
        <v>0.8785217955012065</v>
      </c>
      <c r="I111" s="39">
        <v>0.45962</v>
      </c>
      <c r="J111" s="26">
        <f t="shared" si="6"/>
        <v>0.1719578935285508</v>
      </c>
      <c r="K111" s="26">
        <f t="shared" si="9"/>
        <v>270.5488885831245</v>
      </c>
      <c r="L111" s="59">
        <f t="shared" si="13"/>
        <v>2.8284271247461903</v>
      </c>
      <c r="M111" s="43">
        <v>8</v>
      </c>
      <c r="N111" s="39" t="s">
        <v>189</v>
      </c>
      <c r="O111" s="60">
        <v>3.25</v>
      </c>
      <c r="P111" s="39" t="s">
        <v>190</v>
      </c>
      <c r="Q111" s="43"/>
      <c r="R111" s="39" t="s">
        <v>191</v>
      </c>
      <c r="S111" s="39"/>
      <c r="T111" s="32"/>
      <c r="U111" s="32"/>
      <c r="V111" s="32"/>
      <c r="W111" s="32"/>
      <c r="X111" s="32"/>
      <c r="Y111" s="32"/>
      <c r="Z111" s="32"/>
    </row>
    <row r="112" spans="1:26" ht="12.75">
      <c r="A112" s="39" t="s">
        <v>185</v>
      </c>
      <c r="B112" s="39" t="s">
        <v>186</v>
      </c>
      <c r="C112" s="22" t="s">
        <v>57</v>
      </c>
      <c r="D112" s="39" t="s">
        <v>192</v>
      </c>
      <c r="E112" s="21" t="s">
        <v>101</v>
      </c>
      <c r="F112" s="62" t="s">
        <v>188</v>
      </c>
      <c r="G112" s="26">
        <v>8.72</v>
      </c>
      <c r="H112" s="26">
        <f t="shared" si="12"/>
        <v>0.9405164849325672</v>
      </c>
      <c r="I112" s="26">
        <v>1.25</v>
      </c>
      <c r="J112" s="26">
        <f t="shared" si="6"/>
        <v>0.573394495412844</v>
      </c>
      <c r="K112" s="26">
        <f t="shared" si="9"/>
        <v>48.66457600000001</v>
      </c>
      <c r="L112" s="59">
        <f t="shared" si="13"/>
        <v>4</v>
      </c>
      <c r="M112" s="43">
        <v>16</v>
      </c>
      <c r="N112" s="39" t="s">
        <v>55</v>
      </c>
      <c r="O112" s="60"/>
      <c r="P112" s="39" t="s">
        <v>193</v>
      </c>
      <c r="Q112" s="43"/>
      <c r="R112" s="39" t="s">
        <v>194</v>
      </c>
      <c r="S112" s="39" t="s">
        <v>195</v>
      </c>
      <c r="T112" s="32"/>
      <c r="U112" s="32"/>
      <c r="V112" s="32"/>
      <c r="W112" s="32"/>
      <c r="X112" s="32"/>
      <c r="Y112" s="32"/>
      <c r="Z112" s="32"/>
    </row>
    <row r="113" spans="1:26" ht="12.75">
      <c r="A113" s="39" t="s">
        <v>185</v>
      </c>
      <c r="B113" s="39" t="s">
        <v>186</v>
      </c>
      <c r="C113" s="22" t="s">
        <v>57</v>
      </c>
      <c r="D113" s="39" t="s">
        <v>187</v>
      </c>
      <c r="E113" s="21" t="s">
        <v>101</v>
      </c>
      <c r="F113" s="62" t="s">
        <v>188</v>
      </c>
      <c r="G113" s="26">
        <f>'[2]Dichloroacetate3'!$G$8</f>
        <v>5.673913043478261</v>
      </c>
      <c r="H113" s="26">
        <f t="shared" si="12"/>
        <v>0.7538826756567069</v>
      </c>
      <c r="I113" s="26">
        <v>0.9345492436403317</v>
      </c>
      <c r="J113" s="26">
        <f t="shared" si="6"/>
        <v>0.5938697318007663</v>
      </c>
      <c r="K113" s="26">
        <f t="shared" si="9"/>
        <v>36.860478668054114</v>
      </c>
      <c r="L113" s="59">
        <f t="shared" si="13"/>
        <v>3.605551275463989</v>
      </c>
      <c r="M113" s="43">
        <v>13</v>
      </c>
      <c r="N113" s="39" t="s">
        <v>55</v>
      </c>
      <c r="O113" s="60"/>
      <c r="P113" s="39" t="s">
        <v>196</v>
      </c>
      <c r="Q113" s="43"/>
      <c r="R113" s="39" t="s">
        <v>197</v>
      </c>
      <c r="S113" s="39"/>
      <c r="T113" s="32"/>
      <c r="U113" s="32"/>
      <c r="V113" s="32"/>
      <c r="W113" s="32"/>
      <c r="X113" s="32"/>
      <c r="Y113" s="32"/>
      <c r="Z113" s="32"/>
    </row>
    <row r="114" spans="1:19" s="32" customFormat="1" ht="12.75">
      <c r="A114" s="39" t="s">
        <v>185</v>
      </c>
      <c r="B114" s="39" t="s">
        <v>186</v>
      </c>
      <c r="C114" s="22" t="s">
        <v>57</v>
      </c>
      <c r="D114" s="39" t="s">
        <v>21</v>
      </c>
      <c r="E114" s="21" t="s">
        <v>21</v>
      </c>
      <c r="F114" s="39" t="s">
        <v>136</v>
      </c>
      <c r="G114" s="26">
        <v>2.68</v>
      </c>
      <c r="H114" s="26">
        <f t="shared" si="12"/>
        <v>0.42813479402878885</v>
      </c>
      <c r="I114" s="26">
        <v>0.2934</v>
      </c>
      <c r="J114" s="26">
        <f t="shared" si="6"/>
        <v>0.30964944716437764</v>
      </c>
      <c r="K114" s="26">
        <f t="shared" si="9"/>
        <v>83.43521109024768</v>
      </c>
      <c r="L114" s="59">
        <f t="shared" si="13"/>
        <v>2.8284271247461903</v>
      </c>
      <c r="M114" s="43">
        <v>8</v>
      </c>
      <c r="N114" s="39" t="s">
        <v>189</v>
      </c>
      <c r="O114" s="60">
        <v>3.25</v>
      </c>
      <c r="P114" s="39" t="s">
        <v>190</v>
      </c>
      <c r="Q114" s="43"/>
      <c r="R114" s="39" t="s">
        <v>191</v>
      </c>
      <c r="S114" s="39"/>
    </row>
    <row r="115" spans="1:19" s="32" customFormat="1" ht="12.75">
      <c r="A115" s="39" t="s">
        <v>185</v>
      </c>
      <c r="B115" s="39" t="s">
        <v>186</v>
      </c>
      <c r="C115" s="22" t="s">
        <v>57</v>
      </c>
      <c r="D115" s="39" t="s">
        <v>21</v>
      </c>
      <c r="E115" s="21" t="s">
        <v>21</v>
      </c>
      <c r="F115" s="39" t="s">
        <v>136</v>
      </c>
      <c r="G115" s="26">
        <f>'[2]Dichloroacetate3'!$E$8</f>
        <v>5.333333333333333</v>
      </c>
      <c r="H115" s="26">
        <f t="shared" si="12"/>
        <v>0.7269987279362623</v>
      </c>
      <c r="I115" s="26">
        <v>0.7396002616336388</v>
      </c>
      <c r="J115" s="26">
        <f t="shared" si="6"/>
        <v>0.5</v>
      </c>
      <c r="K115" s="26">
        <f t="shared" si="9"/>
        <v>51.99999999999999</v>
      </c>
      <c r="L115" s="59">
        <f t="shared" si="13"/>
        <v>3.605551275463989</v>
      </c>
      <c r="M115" s="43">
        <v>13</v>
      </c>
      <c r="N115" s="39" t="s">
        <v>55</v>
      </c>
      <c r="O115" s="60"/>
      <c r="P115" s="39" t="s">
        <v>196</v>
      </c>
      <c r="Q115" s="43"/>
      <c r="R115" s="39" t="s">
        <v>197</v>
      </c>
      <c r="S115" s="39"/>
    </row>
    <row r="116" spans="1:19" s="32" customFormat="1" ht="12.75">
      <c r="A116" s="39" t="s">
        <v>185</v>
      </c>
      <c r="B116" s="39" t="s">
        <v>186</v>
      </c>
      <c r="C116" s="22" t="s">
        <v>57</v>
      </c>
      <c r="D116" s="39" t="s">
        <v>198</v>
      </c>
      <c r="E116" s="21" t="s">
        <v>21</v>
      </c>
      <c r="F116" s="39" t="s">
        <v>136</v>
      </c>
      <c r="G116" s="26">
        <v>3.13</v>
      </c>
      <c r="H116" s="26">
        <f t="shared" si="12"/>
        <v>0.49554433754644844</v>
      </c>
      <c r="I116" s="26">
        <v>0.6416666666666667</v>
      </c>
      <c r="J116" s="26">
        <f t="shared" si="6"/>
        <v>0.8200212992545262</v>
      </c>
      <c r="K116" s="26">
        <f t="shared" si="9"/>
        <v>23.79412379827964</v>
      </c>
      <c r="L116" s="59">
        <f t="shared" si="13"/>
        <v>4</v>
      </c>
      <c r="M116" s="43">
        <v>16</v>
      </c>
      <c r="N116" s="39" t="s">
        <v>55</v>
      </c>
      <c r="O116" s="60"/>
      <c r="P116" s="39" t="s">
        <v>193</v>
      </c>
      <c r="Q116" s="43"/>
      <c r="R116" s="39" t="s">
        <v>194</v>
      </c>
      <c r="S116" s="39"/>
    </row>
    <row r="117" spans="1:26" ht="12.75">
      <c r="A117" s="39" t="s">
        <v>185</v>
      </c>
      <c r="B117" s="39" t="s">
        <v>186</v>
      </c>
      <c r="C117" s="22" t="s">
        <v>57</v>
      </c>
      <c r="D117" s="39" t="s">
        <v>199</v>
      </c>
      <c r="E117" s="50" t="s">
        <v>138</v>
      </c>
      <c r="F117" s="62" t="s">
        <v>200</v>
      </c>
      <c r="G117" s="26">
        <v>3.4</v>
      </c>
      <c r="H117" s="26">
        <f t="shared" si="12"/>
        <v>0.5314789170422551</v>
      </c>
      <c r="I117" s="26">
        <v>0.3677</v>
      </c>
      <c r="J117" s="26">
        <f t="shared" si="6"/>
        <v>0.30588607463799244</v>
      </c>
      <c r="K117" s="26">
        <f t="shared" si="9"/>
        <v>85.50087797419721</v>
      </c>
      <c r="L117" s="59">
        <f t="shared" si="13"/>
        <v>2.8284271247461903</v>
      </c>
      <c r="M117" s="43">
        <v>8</v>
      </c>
      <c r="N117" s="39" t="s">
        <v>189</v>
      </c>
      <c r="O117" s="60">
        <v>3.25</v>
      </c>
      <c r="P117" s="39" t="s">
        <v>190</v>
      </c>
      <c r="Q117" s="43"/>
      <c r="R117" s="39" t="s">
        <v>191</v>
      </c>
      <c r="S117" s="39"/>
      <c r="T117" s="32"/>
      <c r="U117" s="32"/>
      <c r="V117" s="32"/>
      <c r="W117" s="32"/>
      <c r="X117" s="32"/>
      <c r="Y117" s="32"/>
      <c r="Z117" s="32"/>
    </row>
    <row r="118" spans="1:26" ht="12.75">
      <c r="A118" s="39" t="s">
        <v>185</v>
      </c>
      <c r="B118" s="39" t="s">
        <v>186</v>
      </c>
      <c r="C118" s="22" t="s">
        <v>57</v>
      </c>
      <c r="D118" s="39" t="s">
        <v>137</v>
      </c>
      <c r="E118" s="50" t="s">
        <v>138</v>
      </c>
      <c r="F118" s="39" t="s">
        <v>201</v>
      </c>
      <c r="G118" s="26">
        <f>'[2]Dichloroacetate3'!$I$8</f>
        <v>1.6956521739130435</v>
      </c>
      <c r="H118" s="26">
        <f t="shared" si="12"/>
        <v>0.22933677100890631</v>
      </c>
      <c r="I118" s="26">
        <v>0.1386750490563073</v>
      </c>
      <c r="J118" s="26">
        <f t="shared" si="6"/>
        <v>0.2948717948717949</v>
      </c>
      <c r="K118" s="26">
        <f t="shared" si="9"/>
        <v>149.51228733459357</v>
      </c>
      <c r="L118" s="59">
        <f t="shared" si="13"/>
        <v>3.605551275463989</v>
      </c>
      <c r="M118" s="43">
        <v>13</v>
      </c>
      <c r="N118" s="39" t="s">
        <v>55</v>
      </c>
      <c r="O118" s="60"/>
      <c r="P118" s="39" t="s">
        <v>196</v>
      </c>
      <c r="Q118" s="43"/>
      <c r="R118" s="39" t="s">
        <v>197</v>
      </c>
      <c r="S118" s="39"/>
      <c r="T118" s="32"/>
      <c r="U118" s="32"/>
      <c r="V118" s="32"/>
      <c r="W118" s="32"/>
      <c r="X118" s="32"/>
      <c r="Y118" s="32"/>
      <c r="Z118" s="32"/>
    </row>
    <row r="119" spans="1:26" ht="12.75">
      <c r="A119" s="39" t="s">
        <v>185</v>
      </c>
      <c r="B119" s="39" t="s">
        <v>186</v>
      </c>
      <c r="C119" s="22" t="s">
        <v>57</v>
      </c>
      <c r="D119" s="39" t="s">
        <v>202</v>
      </c>
      <c r="E119" s="50" t="s">
        <v>138</v>
      </c>
      <c r="F119" s="39" t="s">
        <v>201</v>
      </c>
      <c r="G119" s="26">
        <v>4.56</v>
      </c>
      <c r="H119" s="26">
        <f t="shared" si="12"/>
        <v>0.658964842664435</v>
      </c>
      <c r="I119" s="26">
        <v>0.67</v>
      </c>
      <c r="J119" s="26">
        <f t="shared" si="6"/>
        <v>0.5877192982456141</v>
      </c>
      <c r="K119" s="26">
        <f t="shared" si="9"/>
        <v>46.321229672532844</v>
      </c>
      <c r="L119" s="59">
        <f t="shared" si="13"/>
        <v>4</v>
      </c>
      <c r="M119" s="43">
        <v>16</v>
      </c>
      <c r="N119" s="39" t="s">
        <v>55</v>
      </c>
      <c r="O119" s="60"/>
      <c r="P119" s="39" t="s">
        <v>193</v>
      </c>
      <c r="Q119" s="43"/>
      <c r="R119" s="39" t="s">
        <v>194</v>
      </c>
      <c r="S119" s="39"/>
      <c r="T119" s="32"/>
      <c r="U119" s="32"/>
      <c r="V119" s="32"/>
      <c r="W119" s="32"/>
      <c r="X119" s="32"/>
      <c r="Y119" s="32"/>
      <c r="Z119" s="32"/>
    </row>
    <row r="120" spans="1:26" ht="12.75">
      <c r="A120" s="39" t="s">
        <v>185</v>
      </c>
      <c r="B120" s="39" t="s">
        <v>186</v>
      </c>
      <c r="C120" s="22" t="s">
        <v>57</v>
      </c>
      <c r="D120" s="39" t="s">
        <v>34</v>
      </c>
      <c r="E120" s="21" t="s">
        <v>35</v>
      </c>
      <c r="F120" s="39" t="s">
        <v>36</v>
      </c>
      <c r="G120" s="26">
        <v>1.8</v>
      </c>
      <c r="H120" s="26">
        <f t="shared" si="12"/>
        <v>0.25527250510330607</v>
      </c>
      <c r="I120" s="26">
        <v>0.1414</v>
      </c>
      <c r="J120" s="26">
        <f t="shared" si="6"/>
        <v>0.2221886641328396</v>
      </c>
      <c r="K120" s="26">
        <f t="shared" si="9"/>
        <v>162.04893877951142</v>
      </c>
      <c r="L120" s="59">
        <f t="shared" si="13"/>
        <v>2.8284271247461903</v>
      </c>
      <c r="M120" s="43">
        <v>8</v>
      </c>
      <c r="N120" s="39" t="s">
        <v>189</v>
      </c>
      <c r="O120" s="60">
        <v>3.25</v>
      </c>
      <c r="P120" s="39" t="s">
        <v>190</v>
      </c>
      <c r="Q120" s="43"/>
      <c r="R120" s="39" t="s">
        <v>191</v>
      </c>
      <c r="S120" s="39"/>
      <c r="T120" s="32"/>
      <c r="U120" s="32"/>
      <c r="V120" s="32"/>
      <c r="W120" s="32"/>
      <c r="X120" s="32"/>
      <c r="Y120" s="32"/>
      <c r="Z120" s="32"/>
    </row>
    <row r="121" spans="1:26" ht="12.75">
      <c r="A121" s="39" t="s">
        <v>185</v>
      </c>
      <c r="B121" s="39" t="s">
        <v>186</v>
      </c>
      <c r="C121" s="22" t="s">
        <v>57</v>
      </c>
      <c r="D121" s="39" t="s">
        <v>34</v>
      </c>
      <c r="E121" s="21" t="s">
        <v>35</v>
      </c>
      <c r="F121" s="39" t="s">
        <v>36</v>
      </c>
      <c r="G121" s="26">
        <f>'[2]Dichloroacetate3'!$C$8</f>
        <v>2.3</v>
      </c>
      <c r="H121" s="26">
        <f t="shared" si="12"/>
        <v>0.36172783601759284</v>
      </c>
      <c r="I121" s="26">
        <v>0.49923017660270624</v>
      </c>
      <c r="J121" s="26">
        <f t="shared" si="6"/>
        <v>0.782608695652174</v>
      </c>
      <c r="K121" s="26">
        <f t="shared" si="9"/>
        <v>21.225308641975303</v>
      </c>
      <c r="L121" s="59">
        <f t="shared" si="13"/>
        <v>3.605551275463989</v>
      </c>
      <c r="M121" s="43">
        <v>13</v>
      </c>
      <c r="N121" s="39" t="s">
        <v>55</v>
      </c>
      <c r="O121" s="60"/>
      <c r="P121" s="39" t="s">
        <v>196</v>
      </c>
      <c r="Q121" s="43"/>
      <c r="R121" s="39" t="s">
        <v>197</v>
      </c>
      <c r="S121" s="39"/>
      <c r="T121" s="32"/>
      <c r="U121" s="32"/>
      <c r="V121" s="32"/>
      <c r="W121" s="32"/>
      <c r="X121" s="32"/>
      <c r="Y121" s="32"/>
      <c r="Z121" s="32"/>
    </row>
    <row r="122" spans="1:19" s="32" customFormat="1" ht="12.75">
      <c r="A122" s="39" t="s">
        <v>185</v>
      </c>
      <c r="B122" s="39" t="s">
        <v>186</v>
      </c>
      <c r="C122" s="22" t="s">
        <v>57</v>
      </c>
      <c r="D122" s="39" t="s">
        <v>203</v>
      </c>
      <c r="E122" s="21" t="s">
        <v>35</v>
      </c>
      <c r="F122" s="39" t="s">
        <v>36</v>
      </c>
      <c r="G122" s="26">
        <v>1.09</v>
      </c>
      <c r="H122" s="26">
        <f t="shared" si="12"/>
        <v>0.037426497940623665</v>
      </c>
      <c r="I122" s="26">
        <v>0.1125</v>
      </c>
      <c r="J122" s="26">
        <f t="shared" si="6"/>
        <v>0.4128440366972477</v>
      </c>
      <c r="K122" s="26">
        <f t="shared" si="9"/>
        <v>93.87456790123458</v>
      </c>
      <c r="L122" s="59">
        <f t="shared" si="13"/>
        <v>4</v>
      </c>
      <c r="M122" s="43">
        <v>16</v>
      </c>
      <c r="N122" s="39" t="s">
        <v>55</v>
      </c>
      <c r="O122" s="60"/>
      <c r="P122" s="39" t="s">
        <v>193</v>
      </c>
      <c r="Q122" s="43"/>
      <c r="R122" s="39" t="s">
        <v>194</v>
      </c>
      <c r="S122" s="39"/>
    </row>
    <row r="123" spans="1:26" ht="12.75">
      <c r="A123" s="39" t="s">
        <v>185</v>
      </c>
      <c r="B123" s="39" t="s">
        <v>186</v>
      </c>
      <c r="C123" s="22" t="s">
        <v>57</v>
      </c>
      <c r="D123" s="39" t="s">
        <v>41</v>
      </c>
      <c r="E123" s="21" t="s">
        <v>39</v>
      </c>
      <c r="F123" s="39" t="s">
        <v>40</v>
      </c>
      <c r="G123" s="26">
        <v>0.323</v>
      </c>
      <c r="H123" s="26">
        <f t="shared" si="12"/>
        <v>-0.4907974776688971</v>
      </c>
      <c r="I123" s="26">
        <v>0.0343</v>
      </c>
      <c r="J123" s="26">
        <f t="shared" si="6"/>
        <v>0.3003561931232022</v>
      </c>
      <c r="K123" s="26">
        <f t="shared" si="9"/>
        <v>88.67818680991766</v>
      </c>
      <c r="L123" s="59">
        <f t="shared" si="13"/>
        <v>2.8284271247461903</v>
      </c>
      <c r="M123" s="43">
        <v>8</v>
      </c>
      <c r="N123" s="39" t="s">
        <v>189</v>
      </c>
      <c r="O123" s="60">
        <v>3.25</v>
      </c>
      <c r="P123" s="39" t="s">
        <v>190</v>
      </c>
      <c r="Q123" s="43"/>
      <c r="R123" s="39" t="s">
        <v>191</v>
      </c>
      <c r="S123" s="39"/>
      <c r="T123" s="32"/>
      <c r="U123" s="32"/>
      <c r="V123" s="32"/>
      <c r="W123" s="32"/>
      <c r="X123" s="32"/>
      <c r="Y123" s="32"/>
      <c r="Z123" s="32"/>
    </row>
    <row r="124" spans="1:26" ht="12.75">
      <c r="A124" s="39" t="s">
        <v>185</v>
      </c>
      <c r="B124" s="39" t="s">
        <v>186</v>
      </c>
      <c r="C124" s="22" t="s">
        <v>57</v>
      </c>
      <c r="D124" s="39" t="s">
        <v>41</v>
      </c>
      <c r="E124" s="21" t="s">
        <v>39</v>
      </c>
      <c r="F124" s="39" t="s">
        <v>40</v>
      </c>
      <c r="G124" s="26">
        <f>'[2]Dichloroacetate3'!$B$8</f>
        <v>0.75</v>
      </c>
      <c r="H124" s="26">
        <f t="shared" si="12"/>
        <v>-0.12493873660829995</v>
      </c>
      <c r="I124" s="26">
        <v>0.0970725343394151</v>
      </c>
      <c r="J124" s="26">
        <f t="shared" si="6"/>
        <v>0.4666666666666666</v>
      </c>
      <c r="K124" s="26">
        <f t="shared" si="9"/>
        <v>59.69387755102041</v>
      </c>
      <c r="L124" s="59">
        <f t="shared" si="13"/>
        <v>3.605551275463989</v>
      </c>
      <c r="M124" s="43">
        <v>13</v>
      </c>
      <c r="N124" s="39" t="s">
        <v>55</v>
      </c>
      <c r="O124" s="60"/>
      <c r="P124" s="39" t="s">
        <v>196</v>
      </c>
      <c r="Q124" s="43"/>
      <c r="R124" s="39" t="s">
        <v>197</v>
      </c>
      <c r="S124" s="39"/>
      <c r="T124" s="32"/>
      <c r="U124" s="32"/>
      <c r="V124" s="32"/>
      <c r="W124" s="32"/>
      <c r="X124" s="32"/>
      <c r="Y124" s="32"/>
      <c r="Z124" s="32"/>
    </row>
    <row r="125" spans="1:26" ht="12.75">
      <c r="A125" s="39" t="s">
        <v>204</v>
      </c>
      <c r="B125" s="39" t="s">
        <v>205</v>
      </c>
      <c r="C125" s="32" t="s">
        <v>127</v>
      </c>
      <c r="D125" s="39" t="s">
        <v>34</v>
      </c>
      <c r="E125" s="21" t="s">
        <v>35</v>
      </c>
      <c r="F125" s="39" t="s">
        <v>36</v>
      </c>
      <c r="G125" s="26">
        <v>2.5384985408012524</v>
      </c>
      <c r="H125" s="26">
        <f t="shared" si="12"/>
        <v>0.4045769180962881</v>
      </c>
      <c r="I125" s="24" t="s">
        <v>68</v>
      </c>
      <c r="J125" s="26" t="e">
        <f t="shared" si="6"/>
        <v>#VALUE!</v>
      </c>
      <c r="K125" s="42">
        <v>66.18045358097473</v>
      </c>
      <c r="L125" s="42">
        <v>2.449489742783178</v>
      </c>
      <c r="M125" s="43">
        <v>6</v>
      </c>
      <c r="N125" s="39" t="s">
        <v>158</v>
      </c>
      <c r="O125" s="60"/>
      <c r="P125" s="39" t="s">
        <v>206</v>
      </c>
      <c r="Q125" s="43"/>
      <c r="R125" s="39" t="s">
        <v>204</v>
      </c>
      <c r="S125" s="39"/>
      <c r="T125" s="32"/>
      <c r="U125" s="32"/>
      <c r="V125" s="32"/>
      <c r="W125" s="32"/>
      <c r="X125" s="32"/>
      <c r="Y125" s="32"/>
      <c r="Z125" s="32"/>
    </row>
    <row r="126" spans="1:26" ht="12.75">
      <c r="A126" s="39" t="s">
        <v>204</v>
      </c>
      <c r="B126" s="39" t="s">
        <v>205</v>
      </c>
      <c r="C126" s="32" t="s">
        <v>127</v>
      </c>
      <c r="D126" s="39" t="s">
        <v>34</v>
      </c>
      <c r="E126" s="21" t="s">
        <v>35</v>
      </c>
      <c r="F126" s="39" t="s">
        <v>36</v>
      </c>
      <c r="G126" s="26">
        <v>1.9770764323200338</v>
      </c>
      <c r="H126" s="26">
        <f t="shared" si="12"/>
        <v>0.29602345914330863</v>
      </c>
      <c r="I126" s="24" t="s">
        <v>68</v>
      </c>
      <c r="J126" s="26" t="e">
        <f t="shared" si="6"/>
        <v>#VALUE!</v>
      </c>
      <c r="K126" s="42">
        <v>66.18045358097473</v>
      </c>
      <c r="L126" s="42">
        <v>2.449489742783178</v>
      </c>
      <c r="M126" s="43">
        <v>6</v>
      </c>
      <c r="N126" s="39" t="s">
        <v>55</v>
      </c>
      <c r="O126" s="60"/>
      <c r="P126" s="39" t="s">
        <v>206</v>
      </c>
      <c r="Q126" s="43"/>
      <c r="R126" s="39" t="s">
        <v>204</v>
      </c>
      <c r="S126" s="39"/>
      <c r="T126" s="32" t="s">
        <v>195</v>
      </c>
      <c r="U126" s="32"/>
      <c r="V126" s="32"/>
      <c r="W126" s="32"/>
      <c r="X126" s="32"/>
      <c r="Y126" s="32"/>
      <c r="Z126" s="32"/>
    </row>
    <row r="127" spans="1:22" s="32" customFormat="1" ht="12.75">
      <c r="A127" s="21" t="s">
        <v>207</v>
      </c>
      <c r="B127" s="22" t="s">
        <v>208</v>
      </c>
      <c r="C127" s="22" t="s">
        <v>20</v>
      </c>
      <c r="D127" s="32" t="s">
        <v>21</v>
      </c>
      <c r="E127" s="32" t="s">
        <v>21</v>
      </c>
      <c r="F127" s="32" t="s">
        <v>22</v>
      </c>
      <c r="G127" s="32">
        <v>10.741935483870968</v>
      </c>
      <c r="H127" s="25">
        <f>LOG(G127)</f>
        <v>1.031082539672047</v>
      </c>
      <c r="I127" s="32">
        <v>0.675274125039067</v>
      </c>
      <c r="J127" s="64">
        <f>(I127*(M127^0.5))/G127</f>
        <v>0.35000835875239034</v>
      </c>
      <c r="K127" s="24">
        <f>(G127/I127)^2</f>
        <v>253.04913763070158</v>
      </c>
      <c r="L127" s="24">
        <f>M127^0.5</f>
        <v>5.5677643628300215</v>
      </c>
      <c r="M127" s="38">
        <v>31</v>
      </c>
      <c r="N127" s="36" t="s">
        <v>209</v>
      </c>
      <c r="O127" s="47">
        <f>1/365</f>
        <v>0.0027397260273972603</v>
      </c>
      <c r="P127" s="32" t="s">
        <v>210</v>
      </c>
      <c r="U127" s="32" t="s">
        <v>211</v>
      </c>
      <c r="V127" s="32" t="s">
        <v>212</v>
      </c>
    </row>
    <row r="128" spans="1:27" ht="12.75">
      <c r="A128" s="21" t="s">
        <v>207</v>
      </c>
      <c r="B128" s="22" t="s">
        <v>208</v>
      </c>
      <c r="C128" s="22" t="s">
        <v>20</v>
      </c>
      <c r="D128" s="32" t="s">
        <v>21</v>
      </c>
      <c r="E128" s="32" t="s">
        <v>21</v>
      </c>
      <c r="F128" s="32" t="s">
        <v>22</v>
      </c>
      <c r="G128" s="31">
        <v>14.708333333333334</v>
      </c>
      <c r="H128" s="25">
        <f>LOG(G128)</f>
        <v>1.1675634636762167</v>
      </c>
      <c r="I128" s="31">
        <v>1.1998900412584113</v>
      </c>
      <c r="J128" s="64">
        <f>(I128*(M128^0.5))/G128</f>
        <v>0.1998267432428439</v>
      </c>
      <c r="K128" s="24">
        <f>(G128/I128)^2</f>
        <v>150.26022322763615</v>
      </c>
      <c r="L128" s="24">
        <f>M128^0.5</f>
        <v>2.449489742783178</v>
      </c>
      <c r="M128" s="33">
        <v>6</v>
      </c>
      <c r="N128" s="36" t="s">
        <v>158</v>
      </c>
      <c r="O128" s="47">
        <f>1/365</f>
        <v>0.0027397260273972603</v>
      </c>
      <c r="P128" s="32" t="s">
        <v>210</v>
      </c>
      <c r="Q128" s="31"/>
      <c r="U128" s="32" t="s">
        <v>211</v>
      </c>
      <c r="V128" s="32" t="s">
        <v>212</v>
      </c>
      <c r="AA128" s="31"/>
    </row>
    <row r="129" spans="1:27" ht="12.75">
      <c r="A129" s="21" t="s">
        <v>207</v>
      </c>
      <c r="B129" s="22" t="s">
        <v>208</v>
      </c>
      <c r="C129" s="22" t="s">
        <v>20</v>
      </c>
      <c r="D129" s="21" t="s">
        <v>21</v>
      </c>
      <c r="E129" s="21" t="s">
        <v>21</v>
      </c>
      <c r="F129" s="23" t="s">
        <v>22</v>
      </c>
      <c r="G129" s="31">
        <v>11.5</v>
      </c>
      <c r="H129" s="31">
        <v>1.0606978403536116</v>
      </c>
      <c r="I129" s="31">
        <v>1.710560337043586</v>
      </c>
      <c r="J129" s="31">
        <v>0.36434782608695654</v>
      </c>
      <c r="K129" s="24">
        <v>45.19796537955469</v>
      </c>
      <c r="L129" s="24">
        <v>2.4494897427831783</v>
      </c>
      <c r="M129" s="30">
        <v>6</v>
      </c>
      <c r="N129" s="30"/>
      <c r="O129" s="30">
        <v>3.17</v>
      </c>
      <c r="P129" s="31" t="s">
        <v>213</v>
      </c>
      <c r="Q129" s="31"/>
      <c r="U129" s="32" t="s">
        <v>211</v>
      </c>
      <c r="V129" s="31" t="s">
        <v>214</v>
      </c>
      <c r="AA129" s="31"/>
    </row>
    <row r="130" spans="1:27" ht="12.75">
      <c r="A130" s="21" t="s">
        <v>207</v>
      </c>
      <c r="B130" s="22" t="s">
        <v>208</v>
      </c>
      <c r="C130" s="22" t="s">
        <v>20</v>
      </c>
      <c r="D130" s="31" t="s">
        <v>21</v>
      </c>
      <c r="E130" s="31" t="s">
        <v>21</v>
      </c>
      <c r="F130" s="31" t="s">
        <v>64</v>
      </c>
      <c r="G130" s="31">
        <v>17.59</v>
      </c>
      <c r="H130" s="31">
        <v>1.2452658394574614</v>
      </c>
      <c r="I130" s="31">
        <v>5.147026110073446</v>
      </c>
      <c r="J130" s="31">
        <v>0.9253169803404554</v>
      </c>
      <c r="K130" s="31">
        <v>11.679357069189761</v>
      </c>
      <c r="L130" s="31">
        <v>3.1622776601683795</v>
      </c>
      <c r="M130" s="33">
        <v>10</v>
      </c>
      <c r="N130" s="30" t="s">
        <v>215</v>
      </c>
      <c r="O130" s="30">
        <v>0.006301369863013698</v>
      </c>
      <c r="P130" s="31" t="s">
        <v>216</v>
      </c>
      <c r="Q130" s="31"/>
      <c r="U130" s="32" t="s">
        <v>211</v>
      </c>
      <c r="V130" s="31" t="s">
        <v>217</v>
      </c>
      <c r="AA130" s="31"/>
    </row>
    <row r="131" spans="1:27" ht="12.75">
      <c r="A131" s="21" t="s">
        <v>207</v>
      </c>
      <c r="B131" s="22" t="s">
        <v>208</v>
      </c>
      <c r="C131" s="22" t="s">
        <v>20</v>
      </c>
      <c r="D131" s="31" t="s">
        <v>21</v>
      </c>
      <c r="E131" s="31" t="s">
        <v>21</v>
      </c>
      <c r="F131" s="31" t="s">
        <v>64</v>
      </c>
      <c r="G131" s="31">
        <v>30.6</v>
      </c>
      <c r="H131" s="31">
        <f>LOG(G131)</f>
        <v>1.4857214264815801</v>
      </c>
      <c r="I131" s="31">
        <f>5.3/(M131^0.5)</f>
        <v>2.003211706948904</v>
      </c>
      <c r="J131" s="31">
        <f>5.3/G131</f>
        <v>0.17320261437908496</v>
      </c>
      <c r="K131" s="24">
        <f>(G131/I131)^2</f>
        <v>233.33997864008546</v>
      </c>
      <c r="L131" s="24">
        <f>M131^0.5</f>
        <v>2.6457513110645907</v>
      </c>
      <c r="M131" s="33">
        <v>7</v>
      </c>
      <c r="N131" s="30" t="s">
        <v>218</v>
      </c>
      <c r="O131" s="30">
        <f>(13/2)/12</f>
        <v>0.5416666666666666</v>
      </c>
      <c r="P131" s="31" t="s">
        <v>219</v>
      </c>
      <c r="Q131" s="31"/>
      <c r="U131" s="31" t="s">
        <v>51</v>
      </c>
      <c r="AA131" s="31"/>
    </row>
    <row r="132" spans="1:27" ht="25.5">
      <c r="A132" s="21" t="s">
        <v>207</v>
      </c>
      <c r="B132" s="22" t="s">
        <v>208</v>
      </c>
      <c r="C132" s="22" t="s">
        <v>20</v>
      </c>
      <c r="D132" s="31" t="s">
        <v>21</v>
      </c>
      <c r="E132" s="31" t="s">
        <v>21</v>
      </c>
      <c r="F132" s="31" t="s">
        <v>22</v>
      </c>
      <c r="G132" s="31">
        <v>11.137537677286804</v>
      </c>
      <c r="H132" s="31">
        <v>1.0467891862265317</v>
      </c>
      <c r="I132" s="31">
        <v>0.7013418937491991</v>
      </c>
      <c r="J132" s="31">
        <v>0.4958341559658673</v>
      </c>
      <c r="K132" s="31">
        <v>252.18474331891696</v>
      </c>
      <c r="L132" s="31">
        <v>7.874007874011811</v>
      </c>
      <c r="M132" s="33">
        <v>62</v>
      </c>
      <c r="N132" s="30" t="s">
        <v>220</v>
      </c>
      <c r="O132" s="30" t="s">
        <v>55</v>
      </c>
      <c r="P132" s="65" t="s">
        <v>221</v>
      </c>
      <c r="Q132" s="31"/>
      <c r="U132" s="32" t="s">
        <v>211</v>
      </c>
      <c r="V132" s="31" t="s">
        <v>222</v>
      </c>
      <c r="AA132" s="31"/>
    </row>
    <row r="133" spans="1:23" s="32" customFormat="1" ht="12.75">
      <c r="A133" s="21" t="s">
        <v>207</v>
      </c>
      <c r="B133" s="22" t="s">
        <v>208</v>
      </c>
      <c r="C133" s="22" t="s">
        <v>20</v>
      </c>
      <c r="D133" s="21" t="s">
        <v>34</v>
      </c>
      <c r="E133" s="21" t="s">
        <v>35</v>
      </c>
      <c r="F133" s="23" t="s">
        <v>36</v>
      </c>
      <c r="G133" s="29">
        <v>9.483333333333333</v>
      </c>
      <c r="H133" s="25">
        <f>LOG(G133)</f>
        <v>0.9769610160114275</v>
      </c>
      <c r="I133" s="29">
        <v>1.078089874629095</v>
      </c>
      <c r="J133" s="26">
        <f>(I133*(M133^0.5))/G133</f>
        <v>0.27846433283329036</v>
      </c>
      <c r="K133" s="24">
        <f>(G133/I133)^2</f>
        <v>77.37703742650922</v>
      </c>
      <c r="L133" s="24">
        <f>M133^0.5</f>
        <v>2.449489742783178</v>
      </c>
      <c r="M133" s="38">
        <v>6</v>
      </c>
      <c r="N133" s="28" t="s">
        <v>223</v>
      </c>
      <c r="O133" s="29">
        <v>0.043835616438356165</v>
      </c>
      <c r="P133" s="23" t="s">
        <v>224</v>
      </c>
      <c r="Q133" s="30"/>
      <c r="R133" s="31"/>
      <c r="S133" s="31"/>
      <c r="T133" s="31"/>
      <c r="U133" s="32" t="s">
        <v>26</v>
      </c>
      <c r="V133" s="23" t="s">
        <v>207</v>
      </c>
      <c r="W133" s="23"/>
    </row>
    <row r="134" spans="1:27" ht="12.75">
      <c r="A134" s="21" t="s">
        <v>207</v>
      </c>
      <c r="B134" s="22" t="s">
        <v>208</v>
      </c>
      <c r="C134" s="22" t="s">
        <v>20</v>
      </c>
      <c r="D134" s="31" t="s">
        <v>34</v>
      </c>
      <c r="E134" s="31" t="s">
        <v>34</v>
      </c>
      <c r="F134" s="31" t="s">
        <v>225</v>
      </c>
      <c r="G134" s="31">
        <v>4.066666666666666</v>
      </c>
      <c r="H134" s="31">
        <v>0.6092385759550857</v>
      </c>
      <c r="I134" s="31">
        <v>0.5375269157774196</v>
      </c>
      <c r="J134" s="31">
        <v>0.3237704918032787</v>
      </c>
      <c r="K134" s="24">
        <v>57.23698125300432</v>
      </c>
      <c r="L134" s="24">
        <v>2.4494897427831783</v>
      </c>
      <c r="M134" s="30">
        <v>6</v>
      </c>
      <c r="N134" s="30"/>
      <c r="O134" s="30">
        <v>3.17</v>
      </c>
      <c r="P134" s="31" t="s">
        <v>213</v>
      </c>
      <c r="Q134" s="31"/>
      <c r="U134" s="32" t="s">
        <v>211</v>
      </c>
      <c r="V134" s="31" t="s">
        <v>214</v>
      </c>
      <c r="AA134" s="31"/>
    </row>
    <row r="135" spans="1:27" ht="12.75">
      <c r="A135" s="21" t="s">
        <v>207</v>
      </c>
      <c r="B135" s="22" t="s">
        <v>208</v>
      </c>
      <c r="C135" s="22" t="s">
        <v>20</v>
      </c>
      <c r="D135" s="31" t="s">
        <v>34</v>
      </c>
      <c r="E135" s="31" t="s">
        <v>34</v>
      </c>
      <c r="F135" s="31" t="s">
        <v>225</v>
      </c>
      <c r="G135" s="31">
        <v>3.4516666666666667</v>
      </c>
      <c r="H135" s="31">
        <v>0.5380288485098089</v>
      </c>
      <c r="I135" s="31">
        <v>0.648142883576503</v>
      </c>
      <c r="J135" s="31">
        <v>0.593802345146622</v>
      </c>
      <c r="K135" s="31">
        <v>28.360650185256063</v>
      </c>
      <c r="L135" s="31">
        <v>3.1622776601683795</v>
      </c>
      <c r="M135" s="33">
        <v>10</v>
      </c>
      <c r="N135" s="30" t="s">
        <v>215</v>
      </c>
      <c r="O135" s="30">
        <v>0.006301369863013698</v>
      </c>
      <c r="P135" s="31" t="s">
        <v>216</v>
      </c>
      <c r="Q135" s="31"/>
      <c r="U135" s="32" t="s">
        <v>211</v>
      </c>
      <c r="V135" s="31" t="s">
        <v>217</v>
      </c>
      <c r="AA135" s="31"/>
    </row>
    <row r="136" spans="1:27" ht="12.75">
      <c r="A136" s="21" t="s">
        <v>207</v>
      </c>
      <c r="B136" s="22" t="s">
        <v>208</v>
      </c>
      <c r="C136" s="22" t="s">
        <v>20</v>
      </c>
      <c r="D136" s="32" t="s">
        <v>34</v>
      </c>
      <c r="E136" s="32" t="s">
        <v>34</v>
      </c>
      <c r="F136" s="31" t="s">
        <v>225</v>
      </c>
      <c r="G136" s="31">
        <f>68/60</f>
        <v>1.1333333333333333</v>
      </c>
      <c r="H136" s="31">
        <f>LOG(G136)</f>
        <v>0.054357662322592676</v>
      </c>
      <c r="I136" s="31">
        <f>(19.9/60)/(M136^0.5)</f>
        <v>0.1253582168813937</v>
      </c>
      <c r="J136" s="31">
        <f>(19.9/60)/G136</f>
        <v>0.2926470588235294</v>
      </c>
      <c r="K136" s="24">
        <f>(G136/I136)^2</f>
        <v>81.73530971440114</v>
      </c>
      <c r="L136" s="24">
        <f>M136^0.5</f>
        <v>2.6457513110645907</v>
      </c>
      <c r="M136" s="33">
        <v>7</v>
      </c>
      <c r="N136" s="30" t="s">
        <v>218</v>
      </c>
      <c r="O136" s="30">
        <f>(13/2)/12</f>
        <v>0.5416666666666666</v>
      </c>
      <c r="P136" s="31" t="s">
        <v>219</v>
      </c>
      <c r="Q136" s="31"/>
      <c r="U136" s="31" t="s">
        <v>51</v>
      </c>
      <c r="AA136" s="31"/>
    </row>
    <row r="137" spans="1:27" ht="12.75">
      <c r="A137" s="21" t="s">
        <v>207</v>
      </c>
      <c r="B137" s="22" t="s">
        <v>208</v>
      </c>
      <c r="C137" s="22" t="s">
        <v>20</v>
      </c>
      <c r="D137" s="31" t="s">
        <v>34</v>
      </c>
      <c r="E137" s="31" t="s">
        <v>34</v>
      </c>
      <c r="F137" s="31" t="s">
        <v>225</v>
      </c>
      <c r="G137" s="31">
        <v>4.286217948717945</v>
      </c>
      <c r="H137" s="31">
        <v>0.6320742505879808</v>
      </c>
      <c r="I137" s="31">
        <v>0.35951960099824865</v>
      </c>
      <c r="J137" s="31">
        <v>0.74079087455734</v>
      </c>
      <c r="K137" s="31">
        <v>142.13575966703303</v>
      </c>
      <c r="L137" s="31">
        <v>8.831760866327848</v>
      </c>
      <c r="M137" s="33">
        <v>78</v>
      </c>
      <c r="N137" s="30" t="s">
        <v>220</v>
      </c>
      <c r="O137" s="30" t="s">
        <v>55</v>
      </c>
      <c r="P137" s="31" t="s">
        <v>226</v>
      </c>
      <c r="Q137" s="31"/>
      <c r="AA137" s="31"/>
    </row>
    <row r="138" spans="1:23" s="32" customFormat="1" ht="12.75">
      <c r="A138" s="21" t="s">
        <v>207</v>
      </c>
      <c r="B138" s="22" t="s">
        <v>208</v>
      </c>
      <c r="C138" s="22" t="s">
        <v>20</v>
      </c>
      <c r="D138" s="21" t="s">
        <v>227</v>
      </c>
      <c r="E138" s="21" t="s">
        <v>39</v>
      </c>
      <c r="F138" s="23" t="s">
        <v>40</v>
      </c>
      <c r="G138" s="29">
        <v>16.8</v>
      </c>
      <c r="H138" s="25">
        <f>LOG(G138)</f>
        <v>1.2253092817258628</v>
      </c>
      <c r="I138" s="29">
        <v>2.9512709126747447</v>
      </c>
      <c r="J138" s="26">
        <f>(I138*(M138^0.5))/G138</f>
        <v>0.43030403742685325</v>
      </c>
      <c r="K138" s="24">
        <f>(G138/I138)^2</f>
        <v>32.40413318025251</v>
      </c>
      <c r="L138" s="24">
        <f>M138^0.5</f>
        <v>2.449489742783178</v>
      </c>
      <c r="M138" s="27">
        <v>6</v>
      </c>
      <c r="N138" s="28" t="s">
        <v>223</v>
      </c>
      <c r="O138" s="29">
        <v>0.043835616438356165</v>
      </c>
      <c r="P138" s="23" t="s">
        <v>224</v>
      </c>
      <c r="Q138" s="30"/>
      <c r="R138" s="31"/>
      <c r="S138" s="31"/>
      <c r="T138" s="31"/>
      <c r="U138" s="32" t="s">
        <v>26</v>
      </c>
      <c r="V138" s="23" t="s">
        <v>207</v>
      </c>
      <c r="W138" s="23"/>
    </row>
    <row r="139" spans="1:27" ht="12.75">
      <c r="A139" s="21" t="s">
        <v>207</v>
      </c>
      <c r="B139" s="22" t="s">
        <v>208</v>
      </c>
      <c r="C139" s="22" t="s">
        <v>20</v>
      </c>
      <c r="D139" s="31" t="s">
        <v>39</v>
      </c>
      <c r="E139" s="31" t="s">
        <v>39</v>
      </c>
      <c r="F139" s="31" t="s">
        <v>40</v>
      </c>
      <c r="G139" s="31">
        <v>3.06</v>
      </c>
      <c r="H139" s="31">
        <v>0.48572142648157995</v>
      </c>
      <c r="I139" s="31">
        <v>0.41641325627314024</v>
      </c>
      <c r="J139" s="31">
        <v>0.3333333333333333</v>
      </c>
      <c r="K139" s="24">
        <v>54</v>
      </c>
      <c r="L139" s="24">
        <v>2.4494897427831783</v>
      </c>
      <c r="M139" s="30">
        <v>6</v>
      </c>
      <c r="N139" s="30"/>
      <c r="O139" s="30">
        <v>3.17</v>
      </c>
      <c r="P139" s="31" t="s">
        <v>213</v>
      </c>
      <c r="Q139" s="31"/>
      <c r="U139" s="32" t="s">
        <v>211</v>
      </c>
      <c r="V139" s="31" t="s">
        <v>214</v>
      </c>
      <c r="AA139" s="31"/>
    </row>
    <row r="140" spans="1:27" ht="12.75">
      <c r="A140" s="21" t="s">
        <v>207</v>
      </c>
      <c r="B140" s="22" t="s">
        <v>208</v>
      </c>
      <c r="C140" s="22" t="s">
        <v>20</v>
      </c>
      <c r="D140" s="31" t="s">
        <v>39</v>
      </c>
      <c r="E140" s="31" t="s">
        <v>39</v>
      </c>
      <c r="F140" s="31" t="s">
        <v>228</v>
      </c>
      <c r="G140" s="31">
        <v>3.5469999999999993</v>
      </c>
      <c r="H140" s="31">
        <v>0.5498611884719427</v>
      </c>
      <c r="I140" s="31">
        <v>0.795198158392681</v>
      </c>
      <c r="J140" s="31">
        <v>0.7089476661100119</v>
      </c>
      <c r="K140" s="31">
        <v>19.89626907882377</v>
      </c>
      <c r="L140" s="31">
        <v>3.1622776601683795</v>
      </c>
      <c r="M140" s="33">
        <v>10</v>
      </c>
      <c r="N140" s="30" t="s">
        <v>215</v>
      </c>
      <c r="O140" s="30">
        <v>0.006301369863013698</v>
      </c>
      <c r="P140" s="31" t="s">
        <v>216</v>
      </c>
      <c r="Q140" s="31"/>
      <c r="U140" s="32" t="s">
        <v>211</v>
      </c>
      <c r="V140" s="31" t="s">
        <v>217</v>
      </c>
      <c r="AA140" s="31"/>
    </row>
    <row r="141" spans="1:27" ht="12.75">
      <c r="A141" s="21" t="s">
        <v>207</v>
      </c>
      <c r="B141" s="22" t="s">
        <v>208</v>
      </c>
      <c r="C141" s="22" t="s">
        <v>20</v>
      </c>
      <c r="D141" s="31" t="s">
        <v>229</v>
      </c>
      <c r="E141" s="31" t="s">
        <v>39</v>
      </c>
      <c r="F141" s="31" t="s">
        <v>228</v>
      </c>
      <c r="G141" s="31">
        <v>2.3</v>
      </c>
      <c r="H141" s="31">
        <f>LOG(G141)</f>
        <v>0.36172783601759284</v>
      </c>
      <c r="I141" s="31">
        <f>0.58/(M141^0.5)</f>
        <v>0.21921939434535176</v>
      </c>
      <c r="J141" s="31">
        <f>0.58/G141</f>
        <v>0.25217391304347825</v>
      </c>
      <c r="K141" s="24">
        <f>(G141/I141)^2</f>
        <v>110.07728894173604</v>
      </c>
      <c r="L141" s="24">
        <f>M141^0.5</f>
        <v>2.6457513110645907</v>
      </c>
      <c r="M141" s="33">
        <v>7</v>
      </c>
      <c r="N141" s="30" t="s">
        <v>218</v>
      </c>
      <c r="O141" s="30">
        <f>(13/2)/12</f>
        <v>0.5416666666666666</v>
      </c>
      <c r="P141" s="31" t="s">
        <v>219</v>
      </c>
      <c r="Q141" s="31"/>
      <c r="U141" s="31" t="s">
        <v>51</v>
      </c>
      <c r="AA141" s="31"/>
    </row>
    <row r="142" spans="1:27" ht="12.75">
      <c r="A142" s="21" t="s">
        <v>207</v>
      </c>
      <c r="B142" s="22" t="s">
        <v>208</v>
      </c>
      <c r="C142" s="22" t="s">
        <v>20</v>
      </c>
      <c r="D142" s="31" t="s">
        <v>39</v>
      </c>
      <c r="E142" s="31" t="s">
        <v>39</v>
      </c>
      <c r="F142" s="31" t="s">
        <v>40</v>
      </c>
      <c r="G142" s="31">
        <v>2.951856462954802</v>
      </c>
      <c r="H142" s="31">
        <v>0.4700952356502376</v>
      </c>
      <c r="I142" s="31">
        <v>0.22406345889058712</v>
      </c>
      <c r="J142" s="31">
        <v>0.5976840207930595</v>
      </c>
      <c r="K142" s="31">
        <v>173.55950364013347</v>
      </c>
      <c r="L142" s="31">
        <v>7.874007874011811</v>
      </c>
      <c r="M142" s="33">
        <v>62</v>
      </c>
      <c r="N142" s="30" t="s">
        <v>220</v>
      </c>
      <c r="O142" s="30" t="s">
        <v>55</v>
      </c>
      <c r="P142" s="31" t="s">
        <v>226</v>
      </c>
      <c r="Q142" s="31"/>
      <c r="AA142" s="31"/>
    </row>
    <row r="143" spans="1:27" ht="12.75">
      <c r="A143" s="22" t="s">
        <v>230</v>
      </c>
      <c r="B143" s="22" t="s">
        <v>48</v>
      </c>
      <c r="C143" s="22" t="s">
        <v>48</v>
      </c>
      <c r="D143" s="22" t="s">
        <v>92</v>
      </c>
      <c r="E143" s="21" t="s">
        <v>21</v>
      </c>
      <c r="F143" s="23" t="s">
        <v>22</v>
      </c>
      <c r="G143" s="47">
        <v>1.36</v>
      </c>
      <c r="H143" s="25">
        <f t="shared" si="12"/>
        <v>0.13353890837021754</v>
      </c>
      <c r="I143" s="47">
        <v>0.25</v>
      </c>
      <c r="J143" s="26">
        <f aca="true" t="shared" si="14" ref="J143:J206">(I143*(M143^0.5))/G143</f>
        <v>0.5199314567548143</v>
      </c>
      <c r="K143" s="24">
        <f t="shared" si="9"/>
        <v>29.593600000000006</v>
      </c>
      <c r="L143" s="24">
        <f>M143^0.5</f>
        <v>2.8284271247461903</v>
      </c>
      <c r="M143" s="33">
        <v>8</v>
      </c>
      <c r="N143" s="36" t="s">
        <v>231</v>
      </c>
      <c r="O143" s="35" t="s">
        <v>93</v>
      </c>
      <c r="P143" s="32" t="s">
        <v>232</v>
      </c>
      <c r="U143" s="32" t="s">
        <v>26</v>
      </c>
      <c r="V143" s="32" t="s">
        <v>233</v>
      </c>
      <c r="W143" s="32"/>
      <c r="AA143" s="31"/>
    </row>
    <row r="144" spans="1:27" ht="12.75">
      <c r="A144" s="22" t="s">
        <v>230</v>
      </c>
      <c r="B144" s="22" t="s">
        <v>48</v>
      </c>
      <c r="C144" s="22" t="s">
        <v>48</v>
      </c>
      <c r="D144" s="22" t="s">
        <v>92</v>
      </c>
      <c r="E144" s="21" t="s">
        <v>21</v>
      </c>
      <c r="F144" s="23" t="s">
        <v>22</v>
      </c>
      <c r="G144" s="47">
        <v>0.17666666666666667</v>
      </c>
      <c r="H144" s="25">
        <f t="shared" si="12"/>
        <v>-0.7528453851188734</v>
      </c>
      <c r="I144" s="47">
        <v>0.035</v>
      </c>
      <c r="J144" s="26">
        <f t="shared" si="14"/>
        <v>0.741271746436347</v>
      </c>
      <c r="K144" s="24">
        <f t="shared" si="9"/>
        <v>25.47845804988662</v>
      </c>
      <c r="L144" s="24">
        <f aca="true" t="shared" si="15" ref="L144:L152">M144^0.5</f>
        <v>3.7416573867739413</v>
      </c>
      <c r="M144" s="33">
        <v>14</v>
      </c>
      <c r="N144" s="36" t="s">
        <v>23</v>
      </c>
      <c r="O144" s="35" t="s">
        <v>234</v>
      </c>
      <c r="P144" s="32" t="s">
        <v>235</v>
      </c>
      <c r="U144" s="32" t="s">
        <v>26</v>
      </c>
      <c r="V144" s="32" t="s">
        <v>236</v>
      </c>
      <c r="W144" s="32"/>
      <c r="AA144" s="31"/>
    </row>
    <row r="145" spans="1:27" ht="12.75">
      <c r="A145" s="22" t="s">
        <v>230</v>
      </c>
      <c r="B145" s="22" t="s">
        <v>48</v>
      </c>
      <c r="C145" s="22" t="s">
        <v>48</v>
      </c>
      <c r="D145" s="22" t="s">
        <v>92</v>
      </c>
      <c r="E145" s="21" t="s">
        <v>21</v>
      </c>
      <c r="F145" s="23" t="s">
        <v>22</v>
      </c>
      <c r="G145" s="47">
        <v>2.745</v>
      </c>
      <c r="H145" s="25">
        <f t="shared" si="12"/>
        <v>0.4385423487861107</v>
      </c>
      <c r="I145" s="47">
        <v>0.28833333333333333</v>
      </c>
      <c r="J145" s="26">
        <f t="shared" si="14"/>
        <v>0.2100789313904068</v>
      </c>
      <c r="K145" s="24">
        <f aca="true" t="shared" si="16" ref="K145:K158">(G145/I145)^2</f>
        <v>90.6348023655986</v>
      </c>
      <c r="L145" s="24">
        <f t="shared" si="15"/>
        <v>2</v>
      </c>
      <c r="M145" s="33">
        <v>4</v>
      </c>
      <c r="N145" s="36" t="s">
        <v>46</v>
      </c>
      <c r="O145" s="35"/>
      <c r="P145" s="32" t="s">
        <v>237</v>
      </c>
      <c r="U145" s="32" t="s">
        <v>32</v>
      </c>
      <c r="V145" s="32" t="s">
        <v>230</v>
      </c>
      <c r="W145" s="32"/>
      <c r="AA145" s="31"/>
    </row>
    <row r="146" spans="1:27" ht="12.75">
      <c r="A146" s="22" t="s">
        <v>230</v>
      </c>
      <c r="B146" s="22" t="s">
        <v>48</v>
      </c>
      <c r="C146" s="22" t="s">
        <v>48</v>
      </c>
      <c r="D146" s="22" t="s">
        <v>35</v>
      </c>
      <c r="E146" s="21" t="s">
        <v>35</v>
      </c>
      <c r="F146" s="32" t="s">
        <v>36</v>
      </c>
      <c r="G146" s="33">
        <v>7.7</v>
      </c>
      <c r="H146" s="25">
        <f t="shared" si="12"/>
        <v>0.8864907251724818</v>
      </c>
      <c r="I146" s="35">
        <v>1</v>
      </c>
      <c r="J146" s="26">
        <f t="shared" si="14"/>
        <v>0.36732819801898575</v>
      </c>
      <c r="K146" s="24">
        <f t="shared" si="16"/>
        <v>59.290000000000006</v>
      </c>
      <c r="L146" s="24">
        <f t="shared" si="15"/>
        <v>2.8284271247461903</v>
      </c>
      <c r="M146" s="33">
        <v>8</v>
      </c>
      <c r="N146" s="36" t="s">
        <v>231</v>
      </c>
      <c r="O146" s="35" t="s">
        <v>93</v>
      </c>
      <c r="P146" s="32" t="s">
        <v>232</v>
      </c>
      <c r="U146" s="32" t="s">
        <v>26</v>
      </c>
      <c r="V146" s="32" t="s">
        <v>233</v>
      </c>
      <c r="W146" s="32"/>
      <c r="AA146" s="31"/>
    </row>
    <row r="147" spans="1:27" ht="12.75">
      <c r="A147" s="22" t="s">
        <v>230</v>
      </c>
      <c r="B147" s="22" t="s">
        <v>48</v>
      </c>
      <c r="C147" s="22" t="s">
        <v>48</v>
      </c>
      <c r="D147" s="22" t="s">
        <v>35</v>
      </c>
      <c r="E147" s="21" t="s">
        <v>35</v>
      </c>
      <c r="F147" s="32" t="s">
        <v>36</v>
      </c>
      <c r="G147" s="33">
        <v>19.9</v>
      </c>
      <c r="H147" s="25">
        <f t="shared" si="12"/>
        <v>1.2988530764097066</v>
      </c>
      <c r="I147" s="35">
        <v>3</v>
      </c>
      <c r="J147" s="26">
        <f t="shared" si="14"/>
        <v>0.5640689527799913</v>
      </c>
      <c r="K147" s="24">
        <f t="shared" si="16"/>
        <v>44.00111111111111</v>
      </c>
      <c r="L147" s="24">
        <f t="shared" si="15"/>
        <v>3.7416573867739413</v>
      </c>
      <c r="M147" s="33">
        <v>14</v>
      </c>
      <c r="N147" s="36" t="s">
        <v>23</v>
      </c>
      <c r="O147" s="35" t="s">
        <v>234</v>
      </c>
      <c r="P147" s="32" t="s">
        <v>235</v>
      </c>
      <c r="U147" s="32" t="s">
        <v>26</v>
      </c>
      <c r="V147" s="32" t="s">
        <v>236</v>
      </c>
      <c r="W147" s="32"/>
      <c r="AA147" s="31"/>
    </row>
    <row r="148" spans="1:27" ht="12.75">
      <c r="A148" s="22" t="s">
        <v>230</v>
      </c>
      <c r="B148" s="22" t="s">
        <v>48</v>
      </c>
      <c r="C148" s="22" t="s">
        <v>48</v>
      </c>
      <c r="D148" s="22" t="s">
        <v>35</v>
      </c>
      <c r="E148" s="21" t="s">
        <v>35</v>
      </c>
      <c r="F148" s="32" t="s">
        <v>36</v>
      </c>
      <c r="G148" s="33">
        <v>0.51</v>
      </c>
      <c r="H148" s="25">
        <f t="shared" si="12"/>
        <v>-0.2924298239020636</v>
      </c>
      <c r="I148" s="33">
        <v>0.04</v>
      </c>
      <c r="J148" s="26">
        <f t="shared" si="14"/>
        <v>0.1568627450980392</v>
      </c>
      <c r="K148" s="24">
        <f t="shared" si="16"/>
        <v>162.5625</v>
      </c>
      <c r="L148" s="24">
        <f t="shared" si="15"/>
        <v>2</v>
      </c>
      <c r="M148" s="33">
        <v>4</v>
      </c>
      <c r="N148" s="36" t="s">
        <v>46</v>
      </c>
      <c r="O148" s="35"/>
      <c r="P148" s="32" t="s">
        <v>237</v>
      </c>
      <c r="U148" s="32" t="s">
        <v>32</v>
      </c>
      <c r="V148" s="32" t="s">
        <v>230</v>
      </c>
      <c r="W148" s="32"/>
      <c r="AA148" s="31"/>
    </row>
    <row r="149" spans="1:27" ht="12.75">
      <c r="A149" s="22" t="s">
        <v>230</v>
      </c>
      <c r="B149" s="22" t="s">
        <v>48</v>
      </c>
      <c r="C149" s="22" t="s">
        <v>48</v>
      </c>
      <c r="D149" s="22" t="s">
        <v>39</v>
      </c>
      <c r="E149" s="21" t="s">
        <v>39</v>
      </c>
      <c r="F149" s="32" t="s">
        <v>40</v>
      </c>
      <c r="G149" s="33">
        <v>0.836</v>
      </c>
      <c r="H149" s="25">
        <f t="shared" si="12"/>
        <v>-0.07779372256098363</v>
      </c>
      <c r="I149" s="33">
        <v>0.128</v>
      </c>
      <c r="J149" s="26">
        <f t="shared" si="14"/>
        <v>0.4330606124013306</v>
      </c>
      <c r="K149" s="24">
        <f t="shared" si="16"/>
        <v>42.6572265625</v>
      </c>
      <c r="L149" s="24">
        <f t="shared" si="15"/>
        <v>2.8284271247461903</v>
      </c>
      <c r="M149" s="33">
        <v>8</v>
      </c>
      <c r="N149" s="36" t="s">
        <v>231</v>
      </c>
      <c r="O149" s="35" t="s">
        <v>93</v>
      </c>
      <c r="P149" s="32" t="s">
        <v>232</v>
      </c>
      <c r="U149" s="32" t="s">
        <v>26</v>
      </c>
      <c r="V149" s="32" t="s">
        <v>233</v>
      </c>
      <c r="W149" s="32"/>
      <c r="AA149" s="31"/>
    </row>
    <row r="150" spans="1:27" ht="12.75">
      <c r="A150" s="22" t="s">
        <v>230</v>
      </c>
      <c r="B150" s="22" t="s">
        <v>48</v>
      </c>
      <c r="C150" s="22" t="s">
        <v>48</v>
      </c>
      <c r="D150" s="22" t="s">
        <v>39</v>
      </c>
      <c r="E150" s="21" t="s">
        <v>39</v>
      </c>
      <c r="F150" s="32" t="s">
        <v>40</v>
      </c>
      <c r="G150" s="33">
        <v>0.239</v>
      </c>
      <c r="H150" s="25">
        <f t="shared" si="12"/>
        <v>-0.6216020990518624</v>
      </c>
      <c r="I150" s="33">
        <v>0.027</v>
      </c>
      <c r="J150" s="26">
        <f t="shared" si="14"/>
        <v>0.4226976964137925</v>
      </c>
      <c r="K150" s="24">
        <f t="shared" si="16"/>
        <v>78.35528120713305</v>
      </c>
      <c r="L150" s="24">
        <f t="shared" si="15"/>
        <v>3.7416573867739413</v>
      </c>
      <c r="M150" s="33">
        <v>14</v>
      </c>
      <c r="N150" s="36" t="s">
        <v>23</v>
      </c>
      <c r="O150" s="35" t="s">
        <v>234</v>
      </c>
      <c r="P150" s="32" t="s">
        <v>235</v>
      </c>
      <c r="U150" s="32" t="s">
        <v>26</v>
      </c>
      <c r="V150" s="32" t="s">
        <v>236</v>
      </c>
      <c r="W150" s="32"/>
      <c r="AA150" s="31"/>
    </row>
    <row r="151" spans="1:27" ht="12.75">
      <c r="A151" s="22" t="s">
        <v>230</v>
      </c>
      <c r="B151" s="22" t="s">
        <v>48</v>
      </c>
      <c r="C151" s="22" t="s">
        <v>48</v>
      </c>
      <c r="D151" s="22" t="s">
        <v>39</v>
      </c>
      <c r="E151" s="21" t="s">
        <v>39</v>
      </c>
      <c r="F151" s="32" t="s">
        <v>40</v>
      </c>
      <c r="G151" s="33">
        <v>0.115</v>
      </c>
      <c r="H151" s="25">
        <f>LOG(G151)</f>
        <v>-0.9393021596463883</v>
      </c>
      <c r="I151" s="24" t="s">
        <v>68</v>
      </c>
      <c r="J151" s="26" t="e">
        <f t="shared" si="14"/>
        <v>#VALUE!</v>
      </c>
      <c r="K151" s="24" t="e">
        <f t="shared" si="16"/>
        <v>#VALUE!</v>
      </c>
      <c r="L151" s="24">
        <f t="shared" si="15"/>
        <v>3</v>
      </c>
      <c r="M151" s="38">
        <v>9</v>
      </c>
      <c r="N151" s="36" t="s">
        <v>46</v>
      </c>
      <c r="O151" s="35"/>
      <c r="P151" s="32" t="s">
        <v>235</v>
      </c>
      <c r="U151" s="32" t="s">
        <v>26</v>
      </c>
      <c r="V151" s="32" t="s">
        <v>236</v>
      </c>
      <c r="W151" s="32"/>
      <c r="AA151" s="31"/>
    </row>
    <row r="152" spans="1:27" ht="38.25">
      <c r="A152" s="21" t="s">
        <v>238</v>
      </c>
      <c r="B152" s="22" t="s">
        <v>48</v>
      </c>
      <c r="C152" s="22" t="s">
        <v>48</v>
      </c>
      <c r="D152" s="21" t="s">
        <v>21</v>
      </c>
      <c r="E152" s="21" t="s">
        <v>21</v>
      </c>
      <c r="F152" s="23" t="s">
        <v>22</v>
      </c>
      <c r="G152" s="24">
        <v>1.04</v>
      </c>
      <c r="H152" s="25">
        <f>LOG(G152)</f>
        <v>0.01703333929878037</v>
      </c>
      <c r="I152" s="24">
        <v>0.08973818126344318</v>
      </c>
      <c r="J152" s="26">
        <f t="shared" si="14"/>
        <v>0.3557692307692307</v>
      </c>
      <c r="K152" s="24">
        <f t="shared" si="16"/>
        <v>134.31117604090582</v>
      </c>
      <c r="L152" s="24">
        <f t="shared" si="15"/>
        <v>4.123105625617661</v>
      </c>
      <c r="M152" s="27">
        <v>17</v>
      </c>
      <c r="N152" s="28" t="s">
        <v>239</v>
      </c>
      <c r="O152" s="29">
        <f>12.1/365</f>
        <v>0.03315068493150685</v>
      </c>
      <c r="P152" s="23" t="s">
        <v>240</v>
      </c>
      <c r="U152" s="32" t="s">
        <v>26</v>
      </c>
      <c r="V152" s="23" t="s">
        <v>241</v>
      </c>
      <c r="W152" s="23"/>
      <c r="AA152" s="31"/>
    </row>
    <row r="153" spans="1:27" ht="12.75">
      <c r="A153" s="21" t="s">
        <v>238</v>
      </c>
      <c r="B153" s="22" t="s">
        <v>48</v>
      </c>
      <c r="C153" s="22" t="s">
        <v>48</v>
      </c>
      <c r="D153" s="21" t="s">
        <v>21</v>
      </c>
      <c r="E153" s="21" t="s">
        <v>21</v>
      </c>
      <c r="F153" s="23" t="s">
        <v>22</v>
      </c>
      <c r="G153" s="24">
        <v>1.058366920435886</v>
      </c>
      <c r="H153" s="25">
        <f>LOG(G153)</f>
        <v>0.024636257391966204</v>
      </c>
      <c r="I153" s="37">
        <v>0.014209080920671685</v>
      </c>
      <c r="J153" s="26">
        <f t="shared" si="14"/>
        <v>0.4109599743607571</v>
      </c>
      <c r="K153" s="24">
        <f t="shared" si="16"/>
        <v>5548.052213734587</v>
      </c>
      <c r="L153" s="24">
        <f>M153^0.5</f>
        <v>30.610455730027933</v>
      </c>
      <c r="M153" s="27">
        <v>937</v>
      </c>
      <c r="N153" s="28" t="s">
        <v>46</v>
      </c>
      <c r="O153" s="29"/>
      <c r="P153" s="23" t="s">
        <v>242</v>
      </c>
      <c r="U153" s="32" t="s">
        <v>32</v>
      </c>
      <c r="V153" s="23" t="s">
        <v>238</v>
      </c>
      <c r="W153" s="23"/>
      <c r="AA153" s="31"/>
    </row>
    <row r="154" spans="1:27" ht="12.75">
      <c r="A154" s="21" t="s">
        <v>238</v>
      </c>
      <c r="B154" s="22" t="s">
        <v>243</v>
      </c>
      <c r="C154" s="22" t="s">
        <v>48</v>
      </c>
      <c r="D154" s="21" t="s">
        <v>34</v>
      </c>
      <c r="E154" s="21" t="s">
        <v>35</v>
      </c>
      <c r="F154" s="23" t="s">
        <v>36</v>
      </c>
      <c r="G154" s="24">
        <v>2.895454545454545</v>
      </c>
      <c r="H154" s="25">
        <f aca="true" t="shared" si="17" ref="H154:H208">LOG(G154)</f>
        <v>0.4617167515131441</v>
      </c>
      <c r="I154" s="24">
        <v>0.23690622039305148</v>
      </c>
      <c r="J154" s="26">
        <f t="shared" si="14"/>
        <v>0.3837700272229038</v>
      </c>
      <c r="K154" s="24">
        <f t="shared" si="16"/>
        <v>149.37591375230028</v>
      </c>
      <c r="L154" s="24">
        <f>M154^0.5</f>
        <v>4.69041575982343</v>
      </c>
      <c r="M154" s="27">
        <v>22</v>
      </c>
      <c r="N154" s="28" t="s">
        <v>244</v>
      </c>
      <c r="O154" s="29">
        <v>1</v>
      </c>
      <c r="P154" s="23" t="s">
        <v>245</v>
      </c>
      <c r="U154" s="32" t="s">
        <v>26</v>
      </c>
      <c r="V154" s="23" t="s">
        <v>246</v>
      </c>
      <c r="W154" s="23"/>
      <c r="AA154" s="31"/>
    </row>
    <row r="155" spans="1:27" ht="12.75">
      <c r="A155" s="21" t="s">
        <v>238</v>
      </c>
      <c r="B155" s="22" t="s">
        <v>243</v>
      </c>
      <c r="C155" s="22" t="s">
        <v>48</v>
      </c>
      <c r="D155" s="21" t="s">
        <v>35</v>
      </c>
      <c r="E155" s="21" t="s">
        <v>35</v>
      </c>
      <c r="F155" s="23" t="s">
        <v>36</v>
      </c>
      <c r="G155" s="24">
        <v>1.2616666666666667</v>
      </c>
      <c r="H155" s="25">
        <f t="shared" si="17"/>
        <v>0.10094462911642914</v>
      </c>
      <c r="I155" s="24">
        <v>0.09777916666666668</v>
      </c>
      <c r="J155" s="26">
        <f t="shared" si="14"/>
        <v>0.31000000000000005</v>
      </c>
      <c r="K155" s="24">
        <f t="shared" si="16"/>
        <v>166.49323621227884</v>
      </c>
      <c r="L155" s="24">
        <f>M155^0.5</f>
        <v>4</v>
      </c>
      <c r="M155" s="27">
        <v>16</v>
      </c>
      <c r="N155" s="28" t="s">
        <v>247</v>
      </c>
      <c r="O155" s="29">
        <v>5</v>
      </c>
      <c r="P155" s="23" t="s">
        <v>248</v>
      </c>
      <c r="U155" s="32" t="s">
        <v>31</v>
      </c>
      <c r="V155" s="23" t="s">
        <v>238</v>
      </c>
      <c r="W155" s="23"/>
      <c r="AA155" s="31"/>
    </row>
    <row r="156" spans="1:27" ht="12.75">
      <c r="A156" s="21" t="s">
        <v>238</v>
      </c>
      <c r="B156" s="22" t="s">
        <v>243</v>
      </c>
      <c r="C156" s="22" t="s">
        <v>48</v>
      </c>
      <c r="D156" s="21" t="s">
        <v>35</v>
      </c>
      <c r="E156" s="21" t="s">
        <v>35</v>
      </c>
      <c r="F156" s="23" t="s">
        <v>36</v>
      </c>
      <c r="G156" s="24">
        <v>1.214</v>
      </c>
      <c r="H156" s="25">
        <f t="shared" si="17"/>
        <v>0.08421868673923877</v>
      </c>
      <c r="I156" s="24">
        <v>0.07079511319256472</v>
      </c>
      <c r="J156" s="26">
        <f t="shared" si="14"/>
        <v>0.3449996193581393</v>
      </c>
      <c r="K156" s="24">
        <f t="shared" si="16"/>
        <v>294.05651948590383</v>
      </c>
      <c r="L156" s="24">
        <f>M156^0.5</f>
        <v>5.916079783099616</v>
      </c>
      <c r="M156" s="27">
        <v>35</v>
      </c>
      <c r="N156" s="28" t="s">
        <v>249</v>
      </c>
      <c r="O156" s="29">
        <v>7.32</v>
      </c>
      <c r="P156" s="23" t="s">
        <v>250</v>
      </c>
      <c r="U156" s="32" t="s">
        <v>51</v>
      </c>
      <c r="V156" s="23"/>
      <c r="W156" s="23"/>
      <c r="AA156" s="31"/>
    </row>
    <row r="157" spans="1:27" ht="12.75">
      <c r="A157" s="66" t="s">
        <v>238</v>
      </c>
      <c r="B157" s="22" t="s">
        <v>243</v>
      </c>
      <c r="C157" s="22" t="s">
        <v>48</v>
      </c>
      <c r="D157" s="66" t="s">
        <v>35</v>
      </c>
      <c r="E157" s="21" t="s">
        <v>35</v>
      </c>
      <c r="F157" s="67" t="s">
        <v>36</v>
      </c>
      <c r="G157" s="68">
        <v>2.1363541666666666</v>
      </c>
      <c r="H157" s="25">
        <f t="shared" si="17"/>
        <v>0.3296732520450518</v>
      </c>
      <c r="I157" s="68">
        <v>0.12171517539709975</v>
      </c>
      <c r="J157" s="26">
        <f t="shared" si="14"/>
        <v>0.3222897298190465</v>
      </c>
      <c r="K157" s="24">
        <f t="shared" si="16"/>
        <v>308.0754174049243</v>
      </c>
      <c r="L157" s="24">
        <f aca="true" t="shared" si="18" ref="L157:L220">M157^0.5</f>
        <v>5.656854249492381</v>
      </c>
      <c r="M157" s="69">
        <v>32</v>
      </c>
      <c r="N157" s="70" t="s">
        <v>251</v>
      </c>
      <c r="O157" s="48"/>
      <c r="P157" s="67" t="s">
        <v>252</v>
      </c>
      <c r="U157" s="32" t="s">
        <v>31</v>
      </c>
      <c r="V157" s="67" t="s">
        <v>238</v>
      </c>
      <c r="W157" s="67"/>
      <c r="AA157" s="31"/>
    </row>
    <row r="158" spans="1:27" ht="12.75">
      <c r="A158" s="21" t="s">
        <v>253</v>
      </c>
      <c r="B158" s="22" t="s">
        <v>254</v>
      </c>
      <c r="C158" s="22" t="s">
        <v>84</v>
      </c>
      <c r="D158" s="21" t="s">
        <v>21</v>
      </c>
      <c r="E158" s="21" t="s">
        <v>21</v>
      </c>
      <c r="F158" s="23" t="s">
        <v>22</v>
      </c>
      <c r="G158" s="38">
        <v>13.333333333333334</v>
      </c>
      <c r="H158" s="25">
        <f t="shared" si="17"/>
        <v>1.1249387366083</v>
      </c>
      <c r="I158" s="24" t="s">
        <v>68</v>
      </c>
      <c r="J158" s="26" t="e">
        <f t="shared" si="14"/>
        <v>#VALUE!</v>
      </c>
      <c r="K158" s="24" t="e">
        <f t="shared" si="16"/>
        <v>#VALUE!</v>
      </c>
      <c r="L158" s="24">
        <f>M158^0.5</f>
        <v>3</v>
      </c>
      <c r="M158" s="38">
        <v>9</v>
      </c>
      <c r="N158" s="28" t="s">
        <v>255</v>
      </c>
      <c r="O158" s="29">
        <v>0.125</v>
      </c>
      <c r="P158" s="23" t="s">
        <v>256</v>
      </c>
      <c r="U158" s="32" t="s">
        <v>51</v>
      </c>
      <c r="V158" s="23"/>
      <c r="W158" s="23"/>
      <c r="AA158" s="31"/>
    </row>
    <row r="159" spans="1:27" ht="12.75">
      <c r="A159" s="21" t="s">
        <v>253</v>
      </c>
      <c r="B159" s="22" t="s">
        <v>254</v>
      </c>
      <c r="C159" s="22" t="s">
        <v>84</v>
      </c>
      <c r="D159" s="21" t="s">
        <v>21</v>
      </c>
      <c r="E159" s="21" t="s">
        <v>21</v>
      </c>
      <c r="F159" s="23" t="s">
        <v>22</v>
      </c>
      <c r="G159" s="38">
        <v>35</v>
      </c>
      <c r="H159" s="25">
        <f t="shared" si="17"/>
        <v>1.5440680443502757</v>
      </c>
      <c r="I159" s="24" t="s">
        <v>68</v>
      </c>
      <c r="J159" s="26" t="e">
        <f t="shared" si="14"/>
        <v>#VALUE!</v>
      </c>
      <c r="K159" s="24" t="e">
        <f>(G159/I159)^2</f>
        <v>#VALUE!</v>
      </c>
      <c r="L159" s="24">
        <f>M159^0.5</f>
        <v>3</v>
      </c>
      <c r="M159" s="38">
        <v>9</v>
      </c>
      <c r="N159" s="28" t="s">
        <v>257</v>
      </c>
      <c r="O159" s="29">
        <f>7.5/12</f>
        <v>0.625</v>
      </c>
      <c r="P159" s="23" t="s">
        <v>256</v>
      </c>
      <c r="U159" s="32" t="s">
        <v>51</v>
      </c>
      <c r="V159" s="23"/>
      <c r="W159" s="23"/>
      <c r="AA159" s="31"/>
    </row>
    <row r="160" spans="1:27" ht="12.75">
      <c r="A160" s="21" t="s">
        <v>253</v>
      </c>
      <c r="B160" s="22" t="s">
        <v>254</v>
      </c>
      <c r="C160" s="22" t="s">
        <v>84</v>
      </c>
      <c r="D160" s="21" t="s">
        <v>21</v>
      </c>
      <c r="E160" s="21" t="s">
        <v>21</v>
      </c>
      <c r="F160" s="23" t="s">
        <v>22</v>
      </c>
      <c r="G160" s="38">
        <v>25</v>
      </c>
      <c r="H160" s="25">
        <f t="shared" si="17"/>
        <v>1.3979400086720377</v>
      </c>
      <c r="I160" s="24" t="s">
        <v>68</v>
      </c>
      <c r="J160" s="26" t="e">
        <f t="shared" si="14"/>
        <v>#VALUE!</v>
      </c>
      <c r="K160" s="24" t="e">
        <f>(G160/I160)^2</f>
        <v>#VALUE!</v>
      </c>
      <c r="L160" s="24">
        <f>M160^0.5</f>
        <v>3</v>
      </c>
      <c r="M160" s="38">
        <v>9</v>
      </c>
      <c r="N160" s="28">
        <v>4</v>
      </c>
      <c r="O160" s="29">
        <v>4</v>
      </c>
      <c r="P160" s="23" t="s">
        <v>256</v>
      </c>
      <c r="U160" s="32" t="s">
        <v>51</v>
      </c>
      <c r="V160" s="23"/>
      <c r="W160" s="23"/>
      <c r="AA160" s="31"/>
    </row>
    <row r="161" spans="1:27" ht="12.75">
      <c r="A161" s="21" t="s">
        <v>253</v>
      </c>
      <c r="B161" s="22" t="s">
        <v>254</v>
      </c>
      <c r="C161" s="22" t="s">
        <v>84</v>
      </c>
      <c r="D161" s="21" t="s">
        <v>21</v>
      </c>
      <c r="E161" s="21" t="s">
        <v>21</v>
      </c>
      <c r="F161" s="23" t="s">
        <v>22</v>
      </c>
      <c r="G161" s="38">
        <v>20</v>
      </c>
      <c r="H161" s="25">
        <f t="shared" si="17"/>
        <v>1.3010299956639813</v>
      </c>
      <c r="I161" s="24" t="s">
        <v>68</v>
      </c>
      <c r="J161" s="26" t="e">
        <f t="shared" si="14"/>
        <v>#VALUE!</v>
      </c>
      <c r="K161" s="24" t="e">
        <f aca="true" t="shared" si="19" ref="K161:K224">(G161/I161)^2</f>
        <v>#VALUE!</v>
      </c>
      <c r="L161" s="24">
        <f t="shared" si="18"/>
        <v>3</v>
      </c>
      <c r="M161" s="38">
        <v>9</v>
      </c>
      <c r="N161" s="28" t="s">
        <v>32</v>
      </c>
      <c r="O161" s="29" t="s">
        <v>33</v>
      </c>
      <c r="P161" s="23" t="s">
        <v>256</v>
      </c>
      <c r="U161" s="32" t="s">
        <v>51</v>
      </c>
      <c r="V161" s="23"/>
      <c r="W161" s="23"/>
      <c r="AA161" s="31"/>
    </row>
    <row r="162" spans="1:27" ht="12.75">
      <c r="A162" s="21" t="s">
        <v>253</v>
      </c>
      <c r="B162" s="22" t="s">
        <v>254</v>
      </c>
      <c r="C162" s="22" t="s">
        <v>84</v>
      </c>
      <c r="D162" s="21" t="s">
        <v>258</v>
      </c>
      <c r="E162" s="21" t="s">
        <v>39</v>
      </c>
      <c r="F162" s="23" t="s">
        <v>40</v>
      </c>
      <c r="G162" s="24">
        <v>3.46</v>
      </c>
      <c r="H162" s="25">
        <f t="shared" si="17"/>
        <v>0.5390760987927766</v>
      </c>
      <c r="I162" s="24" t="s">
        <v>68</v>
      </c>
      <c r="J162" s="26" t="e">
        <f t="shared" si="14"/>
        <v>#VALUE!</v>
      </c>
      <c r="K162" s="24" t="e">
        <f t="shared" si="19"/>
        <v>#VALUE!</v>
      </c>
      <c r="L162" s="24">
        <f t="shared" si="18"/>
        <v>3</v>
      </c>
      <c r="M162" s="38">
        <v>9</v>
      </c>
      <c r="N162" s="28" t="s">
        <v>255</v>
      </c>
      <c r="O162" s="29">
        <v>0.125</v>
      </c>
      <c r="P162" s="23" t="s">
        <v>256</v>
      </c>
      <c r="U162" s="32" t="s">
        <v>51</v>
      </c>
      <c r="V162" s="23"/>
      <c r="W162" s="23"/>
      <c r="AA162" s="31"/>
    </row>
    <row r="163" spans="1:27" ht="12.75">
      <c r="A163" s="21" t="s">
        <v>253</v>
      </c>
      <c r="B163" s="22" t="s">
        <v>254</v>
      </c>
      <c r="C163" s="22" t="s">
        <v>84</v>
      </c>
      <c r="D163" s="21" t="s">
        <v>258</v>
      </c>
      <c r="E163" s="21" t="s">
        <v>39</v>
      </c>
      <c r="F163" s="23" t="s">
        <v>40</v>
      </c>
      <c r="G163" s="24">
        <v>3.03</v>
      </c>
      <c r="H163" s="25">
        <f t="shared" si="17"/>
        <v>0.48144262850230496</v>
      </c>
      <c r="I163" s="24" t="s">
        <v>68</v>
      </c>
      <c r="J163" s="26" t="e">
        <f t="shared" si="14"/>
        <v>#VALUE!</v>
      </c>
      <c r="K163" s="24" t="e">
        <f t="shared" si="19"/>
        <v>#VALUE!</v>
      </c>
      <c r="L163" s="24">
        <f t="shared" si="18"/>
        <v>3</v>
      </c>
      <c r="M163" s="38">
        <v>9</v>
      </c>
      <c r="N163" s="28" t="s">
        <v>257</v>
      </c>
      <c r="O163" s="29">
        <f>7.5/12</f>
        <v>0.625</v>
      </c>
      <c r="P163" s="23" t="s">
        <v>256</v>
      </c>
      <c r="U163" s="32" t="s">
        <v>51</v>
      </c>
      <c r="V163" s="23"/>
      <c r="W163" s="23"/>
      <c r="AA163" s="31"/>
    </row>
    <row r="164" spans="1:27" ht="12.75">
      <c r="A164" s="21" t="s">
        <v>253</v>
      </c>
      <c r="B164" s="22" t="s">
        <v>254</v>
      </c>
      <c r="C164" s="22" t="s">
        <v>84</v>
      </c>
      <c r="D164" s="21" t="s">
        <v>258</v>
      </c>
      <c r="E164" s="21" t="s">
        <v>39</v>
      </c>
      <c r="F164" s="23" t="s">
        <v>40</v>
      </c>
      <c r="G164" s="24">
        <v>1.18</v>
      </c>
      <c r="H164" s="25">
        <f t="shared" si="17"/>
        <v>0.07188200730612536</v>
      </c>
      <c r="I164" s="24" t="s">
        <v>68</v>
      </c>
      <c r="J164" s="26" t="e">
        <f t="shared" si="14"/>
        <v>#VALUE!</v>
      </c>
      <c r="K164" s="24" t="e">
        <f t="shared" si="19"/>
        <v>#VALUE!</v>
      </c>
      <c r="L164" s="24">
        <f t="shared" si="18"/>
        <v>3</v>
      </c>
      <c r="M164" s="38">
        <v>9</v>
      </c>
      <c r="N164" s="28">
        <v>4</v>
      </c>
      <c r="O164" s="29">
        <v>4</v>
      </c>
      <c r="P164" s="23" t="s">
        <v>256</v>
      </c>
      <c r="U164" s="32" t="s">
        <v>51</v>
      </c>
      <c r="V164" s="23"/>
      <c r="W164" s="23"/>
      <c r="AA164" s="31"/>
    </row>
    <row r="165" spans="1:27" ht="12.75">
      <c r="A165" s="21" t="s">
        <v>253</v>
      </c>
      <c r="B165" s="22" t="s">
        <v>254</v>
      </c>
      <c r="C165" s="22" t="s">
        <v>84</v>
      </c>
      <c r="D165" s="21" t="s">
        <v>258</v>
      </c>
      <c r="E165" s="21" t="s">
        <v>39</v>
      </c>
      <c r="F165" s="23" t="s">
        <v>40</v>
      </c>
      <c r="G165" s="24">
        <v>0.75</v>
      </c>
      <c r="H165" s="25">
        <f t="shared" si="17"/>
        <v>-0.12493873660829995</v>
      </c>
      <c r="I165" s="24" t="s">
        <v>68</v>
      </c>
      <c r="J165" s="26" t="e">
        <f t="shared" si="14"/>
        <v>#VALUE!</v>
      </c>
      <c r="K165" s="24" t="e">
        <f t="shared" si="19"/>
        <v>#VALUE!</v>
      </c>
      <c r="L165" s="24">
        <f t="shared" si="18"/>
        <v>3</v>
      </c>
      <c r="M165" s="38">
        <v>9</v>
      </c>
      <c r="N165" s="28" t="s">
        <v>32</v>
      </c>
      <c r="O165" s="29" t="s">
        <v>33</v>
      </c>
      <c r="P165" s="23" t="s">
        <v>256</v>
      </c>
      <c r="U165" s="32" t="s">
        <v>51</v>
      </c>
      <c r="V165" s="23"/>
      <c r="W165" s="23"/>
      <c r="AA165" s="31"/>
    </row>
    <row r="166" spans="1:27" ht="25.5">
      <c r="A166" s="21" t="s">
        <v>259</v>
      </c>
      <c r="B166" s="22" t="s">
        <v>260</v>
      </c>
      <c r="C166" s="22" t="s">
        <v>20</v>
      </c>
      <c r="D166" s="21" t="s">
        <v>261</v>
      </c>
      <c r="E166" s="21" t="s">
        <v>21</v>
      </c>
      <c r="F166" s="23" t="s">
        <v>22</v>
      </c>
      <c r="G166" s="29">
        <v>10.166666666666666</v>
      </c>
      <c r="H166" s="25">
        <f t="shared" si="17"/>
        <v>1.0071785846271233</v>
      </c>
      <c r="I166" s="29">
        <v>3.200094037970112</v>
      </c>
      <c r="J166" s="26">
        <f t="shared" si="14"/>
        <v>0.6295266959941204</v>
      </c>
      <c r="K166" s="24">
        <f t="shared" si="19"/>
        <v>10.093265279366353</v>
      </c>
      <c r="L166" s="24">
        <f t="shared" si="18"/>
        <v>2</v>
      </c>
      <c r="M166" s="27">
        <v>4</v>
      </c>
      <c r="N166" s="28" t="s">
        <v>262</v>
      </c>
      <c r="O166" s="29" t="s">
        <v>263</v>
      </c>
      <c r="P166" s="23" t="s">
        <v>264</v>
      </c>
      <c r="U166" s="32" t="s">
        <v>26</v>
      </c>
      <c r="V166" s="23" t="s">
        <v>265</v>
      </c>
      <c r="W166" s="23"/>
      <c r="AA166" s="31"/>
    </row>
    <row r="167" spans="1:27" ht="12.75">
      <c r="A167" s="21" t="s">
        <v>259</v>
      </c>
      <c r="B167" s="22" t="s">
        <v>260</v>
      </c>
      <c r="C167" s="22" t="s">
        <v>20</v>
      </c>
      <c r="D167" s="21" t="s">
        <v>261</v>
      </c>
      <c r="E167" s="21" t="s">
        <v>21</v>
      </c>
      <c r="F167" s="23" t="s">
        <v>22</v>
      </c>
      <c r="G167" s="29">
        <v>9.16</v>
      </c>
      <c r="H167" s="25">
        <f t="shared" si="17"/>
        <v>0.9618954736678504</v>
      </c>
      <c r="I167" s="29">
        <v>0.7645187302407244</v>
      </c>
      <c r="J167" s="26">
        <f t="shared" si="14"/>
        <v>0.2639323691507138</v>
      </c>
      <c r="K167" s="24">
        <f t="shared" si="19"/>
        <v>143.55379819025157</v>
      </c>
      <c r="L167" s="24">
        <f t="shared" si="18"/>
        <v>3.1622776601683795</v>
      </c>
      <c r="M167" s="27">
        <v>10</v>
      </c>
      <c r="N167" s="28" t="s">
        <v>46</v>
      </c>
      <c r="O167" s="29"/>
      <c r="P167" s="23" t="s">
        <v>266</v>
      </c>
      <c r="U167" s="32" t="s">
        <v>32</v>
      </c>
      <c r="V167" s="23" t="s">
        <v>265</v>
      </c>
      <c r="W167" s="23"/>
      <c r="AA167" s="31"/>
    </row>
    <row r="168" spans="1:27" ht="25.5">
      <c r="A168" s="21" t="s">
        <v>259</v>
      </c>
      <c r="B168" s="22" t="s">
        <v>260</v>
      </c>
      <c r="C168" s="22" t="s">
        <v>20</v>
      </c>
      <c r="D168" s="21" t="s">
        <v>34</v>
      </c>
      <c r="E168" s="21" t="s">
        <v>35</v>
      </c>
      <c r="F168" s="23" t="s">
        <v>225</v>
      </c>
      <c r="G168" s="24">
        <v>3.16</v>
      </c>
      <c r="H168" s="25">
        <f t="shared" si="17"/>
        <v>0.49968708261840383</v>
      </c>
      <c r="I168" s="24">
        <v>0.06745368781615622</v>
      </c>
      <c r="J168" s="26">
        <f t="shared" si="14"/>
        <v>0.04269220747857989</v>
      </c>
      <c r="K168" s="24">
        <f t="shared" si="19"/>
        <v>2194.6373626376217</v>
      </c>
      <c r="L168" s="24">
        <f t="shared" si="18"/>
        <v>2</v>
      </c>
      <c r="M168" s="27">
        <v>4</v>
      </c>
      <c r="N168" s="28" t="s">
        <v>262</v>
      </c>
      <c r="O168" s="29" t="s">
        <v>263</v>
      </c>
      <c r="P168" s="23" t="s">
        <v>264</v>
      </c>
      <c r="U168" s="32" t="s">
        <v>26</v>
      </c>
      <c r="V168" s="23" t="s">
        <v>265</v>
      </c>
      <c r="W168" s="23"/>
      <c r="AA168" s="31"/>
    </row>
    <row r="169" spans="1:27" ht="12.75">
      <c r="A169" s="21" t="s">
        <v>259</v>
      </c>
      <c r="B169" s="22" t="s">
        <v>260</v>
      </c>
      <c r="C169" s="22" t="s">
        <v>20</v>
      </c>
      <c r="D169" s="21" t="s">
        <v>34</v>
      </c>
      <c r="E169" s="21" t="s">
        <v>35</v>
      </c>
      <c r="F169" s="23" t="s">
        <v>225</v>
      </c>
      <c r="G169" s="24">
        <v>1.7966666666666669</v>
      </c>
      <c r="H169" s="25">
        <f t="shared" si="17"/>
        <v>0.25446751046707633</v>
      </c>
      <c r="I169" s="24">
        <v>0.12173640822046514</v>
      </c>
      <c r="J169" s="26">
        <f t="shared" si="14"/>
        <v>0.2142658575944611</v>
      </c>
      <c r="K169" s="24">
        <f t="shared" si="19"/>
        <v>217.81814395201633</v>
      </c>
      <c r="L169" s="24">
        <f t="shared" si="18"/>
        <v>3.1622776601683795</v>
      </c>
      <c r="M169" s="27">
        <v>10</v>
      </c>
      <c r="N169" s="28" t="s">
        <v>46</v>
      </c>
      <c r="O169" s="29"/>
      <c r="P169" s="23" t="s">
        <v>266</v>
      </c>
      <c r="U169" s="32" t="s">
        <v>32</v>
      </c>
      <c r="V169" s="23" t="s">
        <v>265</v>
      </c>
      <c r="W169" s="23"/>
      <c r="AA169" s="31"/>
    </row>
    <row r="170" spans="1:27" s="32" customFormat="1" ht="25.5">
      <c r="A170" s="21" t="s">
        <v>259</v>
      </c>
      <c r="B170" s="22" t="s">
        <v>260</v>
      </c>
      <c r="C170" s="22" t="s">
        <v>20</v>
      </c>
      <c r="D170" s="21" t="s">
        <v>267</v>
      </c>
      <c r="E170" s="21" t="s">
        <v>39</v>
      </c>
      <c r="F170" s="23" t="s">
        <v>40</v>
      </c>
      <c r="G170" s="24">
        <v>2.745</v>
      </c>
      <c r="H170" s="25">
        <f t="shared" si="17"/>
        <v>0.4385423487861107</v>
      </c>
      <c r="I170" s="24">
        <v>0.8062722865136813</v>
      </c>
      <c r="J170" s="26">
        <f t="shared" si="14"/>
        <v>0.5874479318861066</v>
      </c>
      <c r="K170" s="24">
        <f t="shared" si="19"/>
        <v>11.591008729761954</v>
      </c>
      <c r="L170" s="24">
        <f t="shared" si="18"/>
        <v>2</v>
      </c>
      <c r="M170" s="27">
        <v>4</v>
      </c>
      <c r="N170" s="28" t="s">
        <v>262</v>
      </c>
      <c r="O170" s="29" t="s">
        <v>263</v>
      </c>
      <c r="P170" s="23" t="s">
        <v>264</v>
      </c>
      <c r="Q170" s="30"/>
      <c r="R170" s="31"/>
      <c r="S170" s="31"/>
      <c r="T170" s="31"/>
      <c r="U170" s="32" t="s">
        <v>26</v>
      </c>
      <c r="V170" s="23" t="s">
        <v>265</v>
      </c>
      <c r="W170" s="23"/>
      <c r="X170" s="31"/>
      <c r="Y170" s="31"/>
      <c r="Z170" s="31"/>
      <c r="AA170" s="31"/>
    </row>
    <row r="171" spans="1:27" ht="12.75">
      <c r="A171" s="21" t="s">
        <v>259</v>
      </c>
      <c r="B171" s="22" t="s">
        <v>260</v>
      </c>
      <c r="C171" s="22" t="s">
        <v>20</v>
      </c>
      <c r="D171" s="21" t="s">
        <v>267</v>
      </c>
      <c r="E171" s="21" t="s">
        <v>39</v>
      </c>
      <c r="F171" s="23" t="s">
        <v>40</v>
      </c>
      <c r="G171" s="24">
        <v>1.1119999999999999</v>
      </c>
      <c r="H171" s="25">
        <f t="shared" si="17"/>
        <v>0.04610478724603862</v>
      </c>
      <c r="I171" s="24">
        <v>0.12007220050175377</v>
      </c>
      <c r="J171" s="26">
        <f t="shared" si="14"/>
        <v>0.3414583068830526</v>
      </c>
      <c r="K171" s="24">
        <f t="shared" si="19"/>
        <v>85.76787200591862</v>
      </c>
      <c r="L171" s="24">
        <f t="shared" si="18"/>
        <v>3.1622776601683795</v>
      </c>
      <c r="M171" s="27">
        <v>10</v>
      </c>
      <c r="N171" s="28" t="s">
        <v>46</v>
      </c>
      <c r="O171" s="29"/>
      <c r="P171" s="23" t="s">
        <v>266</v>
      </c>
      <c r="U171" s="32" t="s">
        <v>32</v>
      </c>
      <c r="V171" s="23" t="s">
        <v>265</v>
      </c>
      <c r="W171" s="23"/>
      <c r="AA171" s="31"/>
    </row>
    <row r="172" spans="1:27" ht="12.75">
      <c r="A172" s="21" t="s">
        <v>268</v>
      </c>
      <c r="B172" s="22" t="s">
        <v>269</v>
      </c>
      <c r="C172" s="22" t="s">
        <v>269</v>
      </c>
      <c r="D172" s="21" t="s">
        <v>21</v>
      </c>
      <c r="E172" s="21" t="s">
        <v>21</v>
      </c>
      <c r="F172" s="23" t="s">
        <v>22</v>
      </c>
      <c r="G172" s="24">
        <v>0.2312</v>
      </c>
      <c r="H172" s="25">
        <f t="shared" si="17"/>
        <v>-0.6360121702515086</v>
      </c>
      <c r="I172" s="24">
        <v>0.03434524065362705</v>
      </c>
      <c r="J172" s="26">
        <f t="shared" si="14"/>
        <v>0.46976292064044833</v>
      </c>
      <c r="K172" s="24">
        <f t="shared" si="19"/>
        <v>45.31505713822815</v>
      </c>
      <c r="L172" s="24">
        <f t="shared" si="18"/>
        <v>3.1622776601683795</v>
      </c>
      <c r="M172" s="27">
        <v>10</v>
      </c>
      <c r="N172" s="28" t="s">
        <v>27</v>
      </c>
      <c r="O172" s="29" t="s">
        <v>270</v>
      </c>
      <c r="P172" s="23" t="s">
        <v>271</v>
      </c>
      <c r="U172" s="32" t="s">
        <v>26</v>
      </c>
      <c r="V172" s="23" t="s">
        <v>268</v>
      </c>
      <c r="W172" s="23"/>
      <c r="AA172" s="31"/>
    </row>
    <row r="173" spans="1:27" ht="12.75">
      <c r="A173" s="21" t="s">
        <v>268</v>
      </c>
      <c r="B173" s="22" t="s">
        <v>269</v>
      </c>
      <c r="C173" s="22" t="s">
        <v>269</v>
      </c>
      <c r="D173" s="21" t="s">
        <v>21</v>
      </c>
      <c r="E173" s="21" t="s">
        <v>21</v>
      </c>
      <c r="F173" s="23" t="s">
        <v>22</v>
      </c>
      <c r="G173" s="24">
        <v>1.1314285714285715</v>
      </c>
      <c r="H173" s="25">
        <f t="shared" si="17"/>
        <v>0.05362714157523668</v>
      </c>
      <c r="I173" s="24">
        <v>0.14631470601849617</v>
      </c>
      <c r="J173" s="26">
        <f t="shared" si="14"/>
        <v>0.34214473193627076</v>
      </c>
      <c r="K173" s="24">
        <f t="shared" si="19"/>
        <v>59.79685253298789</v>
      </c>
      <c r="L173" s="24">
        <f t="shared" si="18"/>
        <v>2.6457513110645907</v>
      </c>
      <c r="M173" s="27">
        <v>7</v>
      </c>
      <c r="N173" s="28" t="s">
        <v>46</v>
      </c>
      <c r="O173" s="29"/>
      <c r="P173" s="23" t="s">
        <v>272</v>
      </c>
      <c r="U173" s="32" t="s">
        <v>32</v>
      </c>
      <c r="V173" s="23" t="s">
        <v>268</v>
      </c>
      <c r="W173" s="23"/>
      <c r="AA173" s="31"/>
    </row>
    <row r="174" spans="1:27" ht="12.75">
      <c r="A174" s="21" t="s">
        <v>268</v>
      </c>
      <c r="B174" s="22" t="s">
        <v>269</v>
      </c>
      <c r="C174" s="22" t="s">
        <v>269</v>
      </c>
      <c r="D174" s="21" t="s">
        <v>34</v>
      </c>
      <c r="E174" s="21" t="s">
        <v>35</v>
      </c>
      <c r="F174" s="23" t="s">
        <v>36</v>
      </c>
      <c r="G174" s="38">
        <v>40.21</v>
      </c>
      <c r="H174" s="25">
        <f t="shared" si="17"/>
        <v>1.6043340731029112</v>
      </c>
      <c r="I174" s="38">
        <v>5.209168199754474</v>
      </c>
      <c r="J174" s="26">
        <f t="shared" si="14"/>
        <v>0.4096701374320594</v>
      </c>
      <c r="K174" s="24">
        <f t="shared" si="19"/>
        <v>59.584237337896596</v>
      </c>
      <c r="L174" s="24">
        <f t="shared" si="18"/>
        <v>3.1622776601683795</v>
      </c>
      <c r="M174" s="38">
        <v>10</v>
      </c>
      <c r="N174" s="28" t="s">
        <v>27</v>
      </c>
      <c r="O174" s="29" t="s">
        <v>270</v>
      </c>
      <c r="P174" s="23" t="s">
        <v>271</v>
      </c>
      <c r="U174" s="32" t="s">
        <v>26</v>
      </c>
      <c r="V174" s="23" t="s">
        <v>268</v>
      </c>
      <c r="W174" s="23"/>
      <c r="AA174" s="31"/>
    </row>
    <row r="175" spans="1:27" ht="12.75">
      <c r="A175" s="21" t="s">
        <v>268</v>
      </c>
      <c r="B175" s="22" t="s">
        <v>269</v>
      </c>
      <c r="C175" s="22" t="s">
        <v>269</v>
      </c>
      <c r="D175" s="21" t="s">
        <v>34</v>
      </c>
      <c r="E175" s="21" t="s">
        <v>35</v>
      </c>
      <c r="F175" s="23" t="s">
        <v>36</v>
      </c>
      <c r="G175" s="29">
        <v>15.646428571428572</v>
      </c>
      <c r="H175" s="25">
        <f t="shared" si="17"/>
        <v>1.1944152218359563</v>
      </c>
      <c r="I175" s="29">
        <v>1.8584221784076083</v>
      </c>
      <c r="J175" s="26">
        <f t="shared" si="14"/>
        <v>0.314252092264178</v>
      </c>
      <c r="K175" s="24">
        <f t="shared" si="19"/>
        <v>70.88293377716607</v>
      </c>
      <c r="L175" s="24">
        <f t="shared" si="18"/>
        <v>2.6457513110645907</v>
      </c>
      <c r="M175" s="27">
        <v>7</v>
      </c>
      <c r="N175" s="28" t="s">
        <v>46</v>
      </c>
      <c r="O175" s="29"/>
      <c r="P175" s="23" t="s">
        <v>272</v>
      </c>
      <c r="U175" s="32" t="s">
        <v>32</v>
      </c>
      <c r="V175" s="23" t="s">
        <v>268</v>
      </c>
      <c r="W175" s="23"/>
      <c r="AA175" s="31"/>
    </row>
    <row r="176" spans="1:27" ht="12.75">
      <c r="A176" s="21" t="s">
        <v>268</v>
      </c>
      <c r="B176" s="22" t="s">
        <v>269</v>
      </c>
      <c r="C176" s="22" t="s">
        <v>269</v>
      </c>
      <c r="D176" s="21" t="s">
        <v>39</v>
      </c>
      <c r="E176" s="21" t="s">
        <v>39</v>
      </c>
      <c r="F176" s="23" t="s">
        <v>40</v>
      </c>
      <c r="G176" s="24">
        <v>0.759</v>
      </c>
      <c r="H176" s="25">
        <f t="shared" si="17"/>
        <v>-0.11975822410451964</v>
      </c>
      <c r="I176" s="24">
        <v>0.11580107464479285</v>
      </c>
      <c r="J176" s="26">
        <f t="shared" si="14"/>
        <v>0.48247055516827325</v>
      </c>
      <c r="K176" s="24">
        <f t="shared" si="19"/>
        <v>42.959416351117355</v>
      </c>
      <c r="L176" s="24">
        <f t="shared" si="18"/>
        <v>3.1622776601683795</v>
      </c>
      <c r="M176" s="27">
        <v>10</v>
      </c>
      <c r="N176" s="28" t="s">
        <v>27</v>
      </c>
      <c r="O176" s="29" t="s">
        <v>270</v>
      </c>
      <c r="P176" s="23" t="s">
        <v>271</v>
      </c>
      <c r="U176" s="32" t="s">
        <v>26</v>
      </c>
      <c r="V176" s="23" t="s">
        <v>268</v>
      </c>
      <c r="W176" s="23"/>
      <c r="AA176" s="31"/>
    </row>
    <row r="177" spans="1:27" ht="12.75">
      <c r="A177" s="21" t="s">
        <v>268</v>
      </c>
      <c r="B177" s="22" t="s">
        <v>269</v>
      </c>
      <c r="C177" s="22" t="s">
        <v>269</v>
      </c>
      <c r="D177" s="21" t="s">
        <v>39</v>
      </c>
      <c r="E177" s="21" t="s">
        <v>39</v>
      </c>
      <c r="F177" s="23" t="s">
        <v>40</v>
      </c>
      <c r="G177" s="24">
        <v>1.1546040085531908</v>
      </c>
      <c r="H177" s="25">
        <f t="shared" si="17"/>
        <v>0.062433060948433414</v>
      </c>
      <c r="I177" s="24">
        <v>0.05278256717851022</v>
      </c>
      <c r="J177" s="26">
        <f t="shared" si="14"/>
        <v>0.12095016583987965</v>
      </c>
      <c r="K177" s="24">
        <f t="shared" si="19"/>
        <v>478.50348336261</v>
      </c>
      <c r="L177" s="24">
        <f t="shared" si="18"/>
        <v>2.6457513110645907</v>
      </c>
      <c r="M177" s="27">
        <v>7</v>
      </c>
      <c r="N177" s="28" t="s">
        <v>46</v>
      </c>
      <c r="O177" s="29"/>
      <c r="P177" s="23" t="s">
        <v>272</v>
      </c>
      <c r="U177" s="32" t="s">
        <v>32</v>
      </c>
      <c r="V177" s="23" t="s">
        <v>268</v>
      </c>
      <c r="W177" s="23"/>
      <c r="AA177" s="31"/>
    </row>
    <row r="178" spans="1:27" ht="38.25">
      <c r="A178" s="21" t="s">
        <v>273</v>
      </c>
      <c r="B178" s="22" t="s">
        <v>274</v>
      </c>
      <c r="C178" s="22" t="s">
        <v>71</v>
      </c>
      <c r="D178" s="21" t="s">
        <v>34</v>
      </c>
      <c r="E178" s="21" t="s">
        <v>35</v>
      </c>
      <c r="F178" s="23" t="s">
        <v>36</v>
      </c>
      <c r="G178" s="29">
        <v>8.685</v>
      </c>
      <c r="H178" s="25">
        <f t="shared" si="17"/>
        <v>0.9387698227831175</v>
      </c>
      <c r="I178" s="29">
        <v>1.3022640541252275</v>
      </c>
      <c r="J178" s="26">
        <f t="shared" si="14"/>
        <v>0.2998880953656252</v>
      </c>
      <c r="K178" s="24">
        <f>(G178/I178)^2</f>
        <v>44.47761993444925</v>
      </c>
      <c r="L178" s="24">
        <f>M178^0.5</f>
        <v>2</v>
      </c>
      <c r="M178" s="27">
        <v>4</v>
      </c>
      <c r="N178" s="28" t="s">
        <v>275</v>
      </c>
      <c r="O178" s="71" t="s">
        <v>276</v>
      </c>
      <c r="P178" s="23" t="s">
        <v>277</v>
      </c>
      <c r="U178" s="32" t="s">
        <v>31</v>
      </c>
      <c r="V178" s="23" t="s">
        <v>278</v>
      </c>
      <c r="W178" s="23"/>
      <c r="AA178" s="31"/>
    </row>
    <row r="179" spans="1:27" ht="12.75">
      <c r="A179" s="21" t="s">
        <v>278</v>
      </c>
      <c r="B179" s="22" t="s">
        <v>274</v>
      </c>
      <c r="C179" s="22" t="s">
        <v>71</v>
      </c>
      <c r="D179" s="21" t="s">
        <v>34</v>
      </c>
      <c r="E179" s="21" t="s">
        <v>35</v>
      </c>
      <c r="F179" s="23" t="s">
        <v>36</v>
      </c>
      <c r="G179" s="29">
        <v>3.17</v>
      </c>
      <c r="H179" s="25">
        <f t="shared" si="17"/>
        <v>0.5010592622177514</v>
      </c>
      <c r="I179" s="29">
        <v>0.7937925841595311</v>
      </c>
      <c r="J179" s="26">
        <f t="shared" si="14"/>
        <v>0.6133712280113957</v>
      </c>
      <c r="K179" s="24">
        <f t="shared" si="19"/>
        <v>15.947934741207844</v>
      </c>
      <c r="L179" s="24">
        <f t="shared" si="18"/>
        <v>2.449489742783178</v>
      </c>
      <c r="M179" s="27">
        <v>6</v>
      </c>
      <c r="N179" s="28" t="s">
        <v>46</v>
      </c>
      <c r="O179" s="71"/>
      <c r="P179" s="23" t="s">
        <v>277</v>
      </c>
      <c r="U179" s="32" t="s">
        <v>31</v>
      </c>
      <c r="V179" s="23" t="s">
        <v>278</v>
      </c>
      <c r="W179" s="23"/>
      <c r="AA179" s="31"/>
    </row>
    <row r="180" spans="1:27" ht="25.5">
      <c r="A180" s="21" t="s">
        <v>279</v>
      </c>
      <c r="B180" s="22" t="s">
        <v>280</v>
      </c>
      <c r="C180" s="22" t="s">
        <v>281</v>
      </c>
      <c r="D180" s="21" t="s">
        <v>282</v>
      </c>
      <c r="E180" s="21" t="s">
        <v>101</v>
      </c>
      <c r="F180" s="32" t="s">
        <v>188</v>
      </c>
      <c r="G180" s="72">
        <v>0.0021987</v>
      </c>
      <c r="H180" s="25">
        <f t="shared" si="17"/>
        <v>-2.657834023587238</v>
      </c>
      <c r="I180" s="25">
        <v>0.0006106531205284315</v>
      </c>
      <c r="J180" s="26">
        <f t="shared" si="14"/>
        <v>0.8332011468528195</v>
      </c>
      <c r="K180" s="24">
        <f t="shared" si="19"/>
        <v>12.964112506776065</v>
      </c>
      <c r="L180" s="24">
        <f>M180^0.5</f>
        <v>3</v>
      </c>
      <c r="M180" s="27">
        <v>9</v>
      </c>
      <c r="N180" s="73" t="s">
        <v>283</v>
      </c>
      <c r="O180" s="29">
        <v>0.07863013698630136</v>
      </c>
      <c r="P180" s="23" t="s">
        <v>284</v>
      </c>
      <c r="U180" s="32" t="s">
        <v>26</v>
      </c>
      <c r="V180" s="23" t="s">
        <v>279</v>
      </c>
      <c r="W180" s="23"/>
      <c r="AA180" s="31"/>
    </row>
    <row r="181" spans="1:27" ht="12.75">
      <c r="A181" s="21" t="s">
        <v>279</v>
      </c>
      <c r="B181" s="22" t="s">
        <v>280</v>
      </c>
      <c r="C181" s="22" t="s">
        <v>281</v>
      </c>
      <c r="D181" s="21" t="s">
        <v>282</v>
      </c>
      <c r="E181" s="21" t="s">
        <v>101</v>
      </c>
      <c r="F181" s="32" t="s">
        <v>188</v>
      </c>
      <c r="G181" s="72">
        <v>0.001588995</v>
      </c>
      <c r="H181" s="25">
        <f t="shared" si="17"/>
        <v>-2.7988774693601637</v>
      </c>
      <c r="I181" s="25">
        <v>0.00026354089215907273</v>
      </c>
      <c r="J181" s="26">
        <f t="shared" si="14"/>
        <v>0.4062572331238149</v>
      </c>
      <c r="K181" s="24">
        <f t="shared" si="19"/>
        <v>36.35373504594604</v>
      </c>
      <c r="L181" s="24">
        <f t="shared" si="18"/>
        <v>2.449489742783178</v>
      </c>
      <c r="M181" s="27">
        <v>6</v>
      </c>
      <c r="N181" s="73" t="s">
        <v>46</v>
      </c>
      <c r="O181" s="74"/>
      <c r="P181" s="23" t="s">
        <v>285</v>
      </c>
      <c r="U181" s="32" t="s">
        <v>32</v>
      </c>
      <c r="V181" s="23" t="s">
        <v>279</v>
      </c>
      <c r="W181" s="23"/>
      <c r="AA181" s="31"/>
    </row>
    <row r="182" spans="1:27" ht="25.5">
      <c r="A182" s="21" t="s">
        <v>279</v>
      </c>
      <c r="B182" s="22" t="s">
        <v>280</v>
      </c>
      <c r="C182" s="22" t="s">
        <v>281</v>
      </c>
      <c r="D182" s="21" t="s">
        <v>286</v>
      </c>
      <c r="E182" s="50" t="s">
        <v>138</v>
      </c>
      <c r="F182" s="39" t="s">
        <v>139</v>
      </c>
      <c r="G182" s="37">
        <v>0.15474074074074073</v>
      </c>
      <c r="H182" s="25">
        <f t="shared" si="17"/>
        <v>-0.8103953285146975</v>
      </c>
      <c r="I182" s="37">
        <v>0.01968633493733017</v>
      </c>
      <c r="J182" s="26">
        <f t="shared" si="14"/>
        <v>0.3816642244910828</v>
      </c>
      <c r="K182" s="24">
        <f t="shared" si="19"/>
        <v>61.784509526139644</v>
      </c>
      <c r="L182" s="24">
        <f t="shared" si="18"/>
        <v>3</v>
      </c>
      <c r="M182" s="27">
        <v>9</v>
      </c>
      <c r="N182" s="73" t="s">
        <v>283</v>
      </c>
      <c r="O182" s="29">
        <v>0.07863013698630136</v>
      </c>
      <c r="P182" s="23" t="s">
        <v>284</v>
      </c>
      <c r="U182" s="32" t="s">
        <v>26</v>
      </c>
      <c r="V182" s="23" t="s">
        <v>279</v>
      </c>
      <c r="W182" s="23"/>
      <c r="AA182" s="31"/>
    </row>
    <row r="183" spans="1:27" ht="12.75">
      <c r="A183" s="21" t="s">
        <v>279</v>
      </c>
      <c r="B183" s="22" t="s">
        <v>280</v>
      </c>
      <c r="C183" s="22" t="s">
        <v>281</v>
      </c>
      <c r="D183" s="21" t="s">
        <v>286</v>
      </c>
      <c r="E183" s="50" t="s">
        <v>138</v>
      </c>
      <c r="F183" s="39" t="s">
        <v>139</v>
      </c>
      <c r="G183" s="37">
        <v>0.320565</v>
      </c>
      <c r="H183" s="25">
        <f t="shared" si="17"/>
        <v>-0.4940838966314001</v>
      </c>
      <c r="I183" s="37">
        <v>0.020507823872854093</v>
      </c>
      <c r="J183" s="26">
        <f t="shared" si="14"/>
        <v>0.15670364582334342</v>
      </c>
      <c r="K183" s="24">
        <f t="shared" si="19"/>
        <v>244.33914444710186</v>
      </c>
      <c r="L183" s="24">
        <f t="shared" si="18"/>
        <v>2.449489742783178</v>
      </c>
      <c r="M183" s="38">
        <v>6</v>
      </c>
      <c r="N183" s="73" t="s">
        <v>46</v>
      </c>
      <c r="O183" s="74"/>
      <c r="P183" s="23" t="s">
        <v>285</v>
      </c>
      <c r="U183" s="32" t="s">
        <v>32</v>
      </c>
      <c r="V183" s="23" t="s">
        <v>279</v>
      </c>
      <c r="W183" s="23"/>
      <c r="AA183" s="31"/>
    </row>
    <row r="184" spans="1:27" ht="25.5">
      <c r="A184" s="21" t="s">
        <v>279</v>
      </c>
      <c r="B184" s="22" t="s">
        <v>280</v>
      </c>
      <c r="C184" s="22" t="s">
        <v>281</v>
      </c>
      <c r="D184" s="21" t="s">
        <v>34</v>
      </c>
      <c r="E184" s="21" t="s">
        <v>35</v>
      </c>
      <c r="F184" s="23" t="s">
        <v>36</v>
      </c>
      <c r="G184" s="29">
        <v>8.472031275795908</v>
      </c>
      <c r="H184" s="25">
        <f t="shared" si="17"/>
        <v>0.9279875503667219</v>
      </c>
      <c r="I184" s="29">
        <v>2.1496361860030055</v>
      </c>
      <c r="J184" s="26">
        <f t="shared" si="14"/>
        <v>0.7611998053445773</v>
      </c>
      <c r="K184" s="24">
        <f t="shared" si="19"/>
        <v>15.532636266357056</v>
      </c>
      <c r="L184" s="24">
        <f t="shared" si="18"/>
        <v>3</v>
      </c>
      <c r="M184" s="27">
        <v>9</v>
      </c>
      <c r="N184" s="73" t="s">
        <v>283</v>
      </c>
      <c r="O184" s="29">
        <v>0.07863013698630136</v>
      </c>
      <c r="P184" s="23" t="s">
        <v>284</v>
      </c>
      <c r="U184" s="32" t="s">
        <v>26</v>
      </c>
      <c r="V184" s="23" t="s">
        <v>279</v>
      </c>
      <c r="W184" s="23"/>
      <c r="AA184" s="31"/>
    </row>
    <row r="185" spans="1:27" ht="12.75">
      <c r="A185" s="21" t="s">
        <v>279</v>
      </c>
      <c r="B185" s="22" t="s">
        <v>280</v>
      </c>
      <c r="C185" s="22" t="s">
        <v>281</v>
      </c>
      <c r="D185" s="21" t="s">
        <v>34</v>
      </c>
      <c r="E185" s="21" t="s">
        <v>35</v>
      </c>
      <c r="F185" s="23" t="s">
        <v>36</v>
      </c>
      <c r="G185" s="29">
        <v>4.8625</v>
      </c>
      <c r="H185" s="25">
        <f t="shared" si="17"/>
        <v>0.6868596143337642</v>
      </c>
      <c r="I185" s="29">
        <v>0.28968013969434175</v>
      </c>
      <c r="J185" s="26">
        <f t="shared" si="14"/>
        <v>0.14592669015306697</v>
      </c>
      <c r="K185" s="24">
        <f t="shared" si="19"/>
        <v>281.7615879242285</v>
      </c>
      <c r="L185" s="24">
        <f t="shared" si="18"/>
        <v>2.449489742783178</v>
      </c>
      <c r="M185" s="27">
        <v>6</v>
      </c>
      <c r="N185" s="73" t="s">
        <v>46</v>
      </c>
      <c r="O185" s="74"/>
      <c r="P185" s="23" t="s">
        <v>285</v>
      </c>
      <c r="U185" s="32" t="s">
        <v>32</v>
      </c>
      <c r="V185" s="23" t="s">
        <v>279</v>
      </c>
      <c r="W185" s="23"/>
      <c r="AA185" s="31"/>
    </row>
    <row r="186" spans="1:27" ht="25.5">
      <c r="A186" s="21" t="s">
        <v>279</v>
      </c>
      <c r="B186" s="22" t="s">
        <v>280</v>
      </c>
      <c r="C186" s="22" t="s">
        <v>281</v>
      </c>
      <c r="D186" s="21" t="s">
        <v>39</v>
      </c>
      <c r="E186" s="21" t="s">
        <v>39</v>
      </c>
      <c r="F186" s="23" t="s">
        <v>40</v>
      </c>
      <c r="G186" s="29">
        <v>6.937777777777779</v>
      </c>
      <c r="H186" s="25">
        <f t="shared" si="17"/>
        <v>0.8412203849510551</v>
      </c>
      <c r="I186" s="29">
        <v>0.7953925965936876</v>
      </c>
      <c r="J186" s="26">
        <f t="shared" si="14"/>
        <v>0.3439397839210372</v>
      </c>
      <c r="K186" s="24">
        <f t="shared" si="19"/>
        <v>76.08125734223714</v>
      </c>
      <c r="L186" s="24">
        <f t="shared" si="18"/>
        <v>3</v>
      </c>
      <c r="M186" s="27">
        <v>9</v>
      </c>
      <c r="N186" s="73" t="s">
        <v>283</v>
      </c>
      <c r="O186" s="29">
        <v>0.07863013698630136</v>
      </c>
      <c r="P186" s="23" t="s">
        <v>284</v>
      </c>
      <c r="U186" s="32" t="s">
        <v>26</v>
      </c>
      <c r="V186" s="23" t="s">
        <v>279</v>
      </c>
      <c r="W186" s="23"/>
      <c r="AA186" s="31"/>
    </row>
    <row r="187" spans="1:27" ht="12.75">
      <c r="A187" s="21" t="s">
        <v>279</v>
      </c>
      <c r="B187" s="22" t="s">
        <v>280</v>
      </c>
      <c r="C187" s="22" t="s">
        <v>281</v>
      </c>
      <c r="D187" s="21" t="s">
        <v>39</v>
      </c>
      <c r="E187" s="21" t="s">
        <v>39</v>
      </c>
      <c r="F187" s="23" t="s">
        <v>40</v>
      </c>
      <c r="G187" s="29">
        <v>3.43</v>
      </c>
      <c r="H187" s="25">
        <f t="shared" si="17"/>
        <v>0.5352941200427705</v>
      </c>
      <c r="I187" s="29">
        <v>0.48173298274735826</v>
      </c>
      <c r="J187" s="26">
        <f t="shared" si="14"/>
        <v>0.34402332361516025</v>
      </c>
      <c r="K187" s="24">
        <f t="shared" si="19"/>
        <v>50.69620798621089</v>
      </c>
      <c r="L187" s="24">
        <f t="shared" si="18"/>
        <v>2.449489742783178</v>
      </c>
      <c r="M187" s="27">
        <v>6</v>
      </c>
      <c r="N187" s="73" t="s">
        <v>46</v>
      </c>
      <c r="O187" s="74"/>
      <c r="P187" s="23" t="s">
        <v>285</v>
      </c>
      <c r="U187" s="32" t="s">
        <v>32</v>
      </c>
      <c r="V187" s="23" t="s">
        <v>279</v>
      </c>
      <c r="W187" s="23"/>
      <c r="AA187" s="31"/>
    </row>
    <row r="188" spans="1:27" s="32" customFormat="1" ht="12.75">
      <c r="A188" s="21" t="s">
        <v>287</v>
      </c>
      <c r="B188" s="22" t="s">
        <v>288</v>
      </c>
      <c r="C188" s="22" t="s">
        <v>20</v>
      </c>
      <c r="D188" s="21" t="s">
        <v>289</v>
      </c>
      <c r="E188" s="21" t="s">
        <v>101</v>
      </c>
      <c r="F188" s="32" t="s">
        <v>167</v>
      </c>
      <c r="G188" s="24">
        <v>2.1986999999999997</v>
      </c>
      <c r="H188" s="25">
        <f t="shared" si="17"/>
        <v>0.34216597641276153</v>
      </c>
      <c r="I188" s="24">
        <v>0.6106531205284315</v>
      </c>
      <c r="J188" s="26">
        <f t="shared" si="14"/>
        <v>0.8332011468528198</v>
      </c>
      <c r="K188" s="24">
        <f t="shared" si="19"/>
        <v>12.964112506776058</v>
      </c>
      <c r="L188" s="24">
        <f t="shared" si="18"/>
        <v>3</v>
      </c>
      <c r="M188" s="27">
        <v>9</v>
      </c>
      <c r="N188" s="28" t="s">
        <v>290</v>
      </c>
      <c r="O188" s="29">
        <v>2.5</v>
      </c>
      <c r="P188" s="23" t="s">
        <v>291</v>
      </c>
      <c r="Q188" s="30"/>
      <c r="R188" s="31"/>
      <c r="S188" s="31"/>
      <c r="T188" s="31"/>
      <c r="U188" s="32" t="s">
        <v>26</v>
      </c>
      <c r="V188" s="23" t="s">
        <v>287</v>
      </c>
      <c r="W188" s="23"/>
      <c r="X188" s="31"/>
      <c r="Y188" s="31"/>
      <c r="Z188" s="31"/>
      <c r="AA188" s="31"/>
    </row>
    <row r="189" spans="1:27" s="32" customFormat="1" ht="12.75">
      <c r="A189" s="21" t="s">
        <v>287</v>
      </c>
      <c r="B189" s="22" t="s">
        <v>288</v>
      </c>
      <c r="C189" s="22" t="s">
        <v>20</v>
      </c>
      <c r="D189" s="21" t="s">
        <v>289</v>
      </c>
      <c r="E189" s="21" t="s">
        <v>101</v>
      </c>
      <c r="F189" s="32" t="s">
        <v>167</v>
      </c>
      <c r="G189" s="24">
        <v>0.9292111111111112</v>
      </c>
      <c r="H189" s="25">
        <f t="shared" si="17"/>
        <v>-0.031885605732119966</v>
      </c>
      <c r="I189" s="24">
        <v>0.16641276697521035</v>
      </c>
      <c r="J189" s="26">
        <f t="shared" si="14"/>
        <v>0.43868003826011354</v>
      </c>
      <c r="K189" s="24">
        <f t="shared" si="19"/>
        <v>31.17852064841696</v>
      </c>
      <c r="L189" s="24">
        <f t="shared" si="18"/>
        <v>2.449489742783178</v>
      </c>
      <c r="M189" s="27">
        <v>6</v>
      </c>
      <c r="N189" s="28" t="s">
        <v>46</v>
      </c>
      <c r="O189" s="29"/>
      <c r="P189" s="23" t="s">
        <v>292</v>
      </c>
      <c r="Q189" s="30"/>
      <c r="R189" s="31"/>
      <c r="S189" s="31"/>
      <c r="T189" s="31"/>
      <c r="U189" s="32" t="s">
        <v>32</v>
      </c>
      <c r="V189" s="23" t="s">
        <v>293</v>
      </c>
      <c r="W189" s="23"/>
      <c r="X189" s="31"/>
      <c r="Y189" s="31"/>
      <c r="Z189" s="31"/>
      <c r="AA189" s="31"/>
    </row>
    <row r="190" spans="1:27" s="32" customFormat="1" ht="12.75">
      <c r="A190" s="21" t="s">
        <v>287</v>
      </c>
      <c r="B190" s="22" t="s">
        <v>288</v>
      </c>
      <c r="C190" s="22" t="s">
        <v>20</v>
      </c>
      <c r="D190" s="21" t="s">
        <v>21</v>
      </c>
      <c r="E190" s="21" t="s">
        <v>21</v>
      </c>
      <c r="F190" s="23" t="s">
        <v>22</v>
      </c>
      <c r="G190" s="29">
        <v>13.294444444444444</v>
      </c>
      <c r="H190" s="25">
        <f t="shared" si="17"/>
        <v>1.1236701935101312</v>
      </c>
      <c r="I190" s="29">
        <v>1.7497548329147856</v>
      </c>
      <c r="J190" s="26">
        <f t="shared" si="14"/>
        <v>0.32239079515662805</v>
      </c>
      <c r="K190" s="24">
        <f t="shared" si="19"/>
        <v>57.72792982059963</v>
      </c>
      <c r="L190" s="24">
        <f t="shared" si="18"/>
        <v>2.449489742783178</v>
      </c>
      <c r="M190" s="27">
        <v>6</v>
      </c>
      <c r="N190" s="28" t="s">
        <v>290</v>
      </c>
      <c r="O190" s="29">
        <v>2.5</v>
      </c>
      <c r="P190" s="23" t="s">
        <v>291</v>
      </c>
      <c r="Q190" s="30"/>
      <c r="R190" s="31"/>
      <c r="S190" s="31"/>
      <c r="T190" s="31"/>
      <c r="U190" s="32" t="s">
        <v>26</v>
      </c>
      <c r="V190" s="23" t="s">
        <v>287</v>
      </c>
      <c r="W190" s="23"/>
      <c r="X190" s="31"/>
      <c r="Y190" s="31"/>
      <c r="Z190" s="31"/>
      <c r="AA190" s="31"/>
    </row>
    <row r="191" spans="1:27" s="32" customFormat="1" ht="12.75">
      <c r="A191" s="21" t="s">
        <v>287</v>
      </c>
      <c r="B191" s="22" t="s">
        <v>288</v>
      </c>
      <c r="C191" s="22" t="s">
        <v>20</v>
      </c>
      <c r="D191" s="21" t="s">
        <v>21</v>
      </c>
      <c r="E191" s="21" t="s">
        <v>21</v>
      </c>
      <c r="F191" s="23" t="s">
        <v>22</v>
      </c>
      <c r="G191" s="29">
        <v>4.816374092469942</v>
      </c>
      <c r="H191" s="25">
        <f t="shared" si="17"/>
        <v>0.6827202116355231</v>
      </c>
      <c r="I191" s="29">
        <v>0.3346377214365978</v>
      </c>
      <c r="J191" s="26">
        <f t="shared" si="14"/>
        <v>0.31072033799772425</v>
      </c>
      <c r="K191" s="24">
        <f t="shared" si="19"/>
        <v>207.1527172484099</v>
      </c>
      <c r="L191" s="24">
        <f t="shared" si="18"/>
        <v>4.47213595499958</v>
      </c>
      <c r="M191" s="27">
        <v>20</v>
      </c>
      <c r="N191" s="28" t="s">
        <v>46</v>
      </c>
      <c r="O191" s="29"/>
      <c r="P191" s="23" t="s">
        <v>292</v>
      </c>
      <c r="Q191" s="30"/>
      <c r="R191" s="31"/>
      <c r="S191" s="31"/>
      <c r="T191" s="31"/>
      <c r="U191" s="32" t="s">
        <v>32</v>
      </c>
      <c r="V191" s="23" t="s">
        <v>293</v>
      </c>
      <c r="W191" s="23"/>
      <c r="X191" s="31"/>
      <c r="Y191" s="31"/>
      <c r="Z191" s="31"/>
      <c r="AA191" s="31"/>
    </row>
    <row r="192" spans="1:27" s="32" customFormat="1" ht="12.75">
      <c r="A192" s="21" t="s">
        <v>287</v>
      </c>
      <c r="B192" s="22" t="s">
        <v>288</v>
      </c>
      <c r="C192" s="22" t="s">
        <v>20</v>
      </c>
      <c r="D192" s="21" t="s">
        <v>34</v>
      </c>
      <c r="E192" s="21" t="s">
        <v>35</v>
      </c>
      <c r="F192" s="23" t="s">
        <v>36</v>
      </c>
      <c r="G192" s="24">
        <v>2.294166666666667</v>
      </c>
      <c r="H192" s="25">
        <f t="shared" si="17"/>
        <v>0.3606249653457055</v>
      </c>
      <c r="I192" s="24">
        <v>0.3808233869134116</v>
      </c>
      <c r="J192" s="26">
        <f t="shared" si="14"/>
        <v>0.5750283660104522</v>
      </c>
      <c r="K192" s="24">
        <f t="shared" si="19"/>
        <v>36.29131528165143</v>
      </c>
      <c r="L192" s="24">
        <f t="shared" si="18"/>
        <v>3.4641016151377544</v>
      </c>
      <c r="M192" s="27">
        <v>12</v>
      </c>
      <c r="N192" s="28" t="s">
        <v>290</v>
      </c>
      <c r="O192" s="29">
        <v>2.5</v>
      </c>
      <c r="P192" s="23" t="s">
        <v>291</v>
      </c>
      <c r="Q192" s="30"/>
      <c r="R192" s="31"/>
      <c r="S192" s="31"/>
      <c r="T192" s="31"/>
      <c r="U192" s="32" t="s">
        <v>26</v>
      </c>
      <c r="V192" s="23" t="s">
        <v>287</v>
      </c>
      <c r="W192" s="23"/>
      <c r="X192" s="31"/>
      <c r="Y192" s="31"/>
      <c r="Z192" s="31"/>
      <c r="AA192" s="31"/>
    </row>
    <row r="193" spans="1:27" s="32" customFormat="1" ht="12.75">
      <c r="A193" s="21" t="s">
        <v>287</v>
      </c>
      <c r="B193" s="22" t="s">
        <v>288</v>
      </c>
      <c r="C193" s="22" t="s">
        <v>20</v>
      </c>
      <c r="D193" s="21" t="s">
        <v>34</v>
      </c>
      <c r="E193" s="21" t="s">
        <v>35</v>
      </c>
      <c r="F193" s="23" t="s">
        <v>36</v>
      </c>
      <c r="G193" s="27">
        <v>2.24</v>
      </c>
      <c r="H193" s="25">
        <f t="shared" si="17"/>
        <v>0.35024801833416286</v>
      </c>
      <c r="I193" s="24">
        <v>0.22418513411681512</v>
      </c>
      <c r="J193" s="26">
        <f t="shared" si="14"/>
        <v>0.5103233810352927</v>
      </c>
      <c r="K193" s="24">
        <f t="shared" si="19"/>
        <v>99.83490638232739</v>
      </c>
      <c r="L193" s="24">
        <f t="shared" si="18"/>
        <v>5.0990195135927845</v>
      </c>
      <c r="M193" s="27">
        <v>26</v>
      </c>
      <c r="N193" s="28" t="s">
        <v>46</v>
      </c>
      <c r="O193" s="29"/>
      <c r="P193" s="23" t="s">
        <v>294</v>
      </c>
      <c r="Q193" s="30"/>
      <c r="R193" s="31"/>
      <c r="S193" s="31"/>
      <c r="T193" s="31"/>
      <c r="U193" s="32" t="s">
        <v>32</v>
      </c>
      <c r="V193" s="23" t="s">
        <v>295</v>
      </c>
      <c r="W193" s="23"/>
      <c r="X193" s="31"/>
      <c r="Y193" s="31"/>
      <c r="Z193" s="31"/>
      <c r="AA193" s="31"/>
    </row>
    <row r="194" spans="1:27" ht="25.5">
      <c r="A194" s="21" t="s">
        <v>296</v>
      </c>
      <c r="B194" s="22" t="s">
        <v>269</v>
      </c>
      <c r="C194" s="22" t="s">
        <v>269</v>
      </c>
      <c r="D194" s="21" t="s">
        <v>21</v>
      </c>
      <c r="E194" s="21" t="s">
        <v>21</v>
      </c>
      <c r="F194" s="23" t="s">
        <v>136</v>
      </c>
      <c r="G194" s="71">
        <v>3.01</v>
      </c>
      <c r="H194" s="25">
        <f t="shared" si="17"/>
        <v>0.47856649559384334</v>
      </c>
      <c r="I194" s="71">
        <v>0.4956982903558659</v>
      </c>
      <c r="J194" s="26">
        <f t="shared" si="14"/>
        <v>0.9020104164274196</v>
      </c>
      <c r="K194" s="24">
        <f t="shared" si="19"/>
        <v>36.87212344489494</v>
      </c>
      <c r="L194" s="24">
        <f t="shared" si="18"/>
        <v>5.477225575051661</v>
      </c>
      <c r="M194" s="28">
        <v>30</v>
      </c>
      <c r="N194" s="28" t="s">
        <v>297</v>
      </c>
      <c r="O194" s="38"/>
      <c r="P194" s="75" t="s">
        <v>298</v>
      </c>
      <c r="U194" s="32" t="s">
        <v>26</v>
      </c>
      <c r="V194" s="23" t="s">
        <v>299</v>
      </c>
      <c r="W194" s="75"/>
      <c r="AA194" s="31"/>
    </row>
    <row r="195" spans="1:27" ht="25.5">
      <c r="A195" s="21" t="s">
        <v>296</v>
      </c>
      <c r="B195" s="22" t="s">
        <v>269</v>
      </c>
      <c r="C195" s="22" t="s">
        <v>269</v>
      </c>
      <c r="D195" s="21" t="s">
        <v>21</v>
      </c>
      <c r="E195" s="21" t="s">
        <v>21</v>
      </c>
      <c r="F195" s="23" t="s">
        <v>136</v>
      </c>
      <c r="G195" s="71">
        <v>6.440472222222222</v>
      </c>
      <c r="H195" s="25">
        <f t="shared" si="17"/>
        <v>0.8089177114571242</v>
      </c>
      <c r="I195" s="71">
        <v>0.45896795175128186</v>
      </c>
      <c r="J195" s="26">
        <f t="shared" si="14"/>
        <v>0.4275785401272202</v>
      </c>
      <c r="K195" s="24">
        <f t="shared" si="19"/>
        <v>196.91132770298756</v>
      </c>
      <c r="L195" s="24">
        <f t="shared" si="18"/>
        <v>6</v>
      </c>
      <c r="M195" s="28">
        <v>36</v>
      </c>
      <c r="N195" s="28" t="s">
        <v>300</v>
      </c>
      <c r="O195" s="38"/>
      <c r="P195" s="75" t="s">
        <v>301</v>
      </c>
      <c r="U195" s="32" t="s">
        <v>26</v>
      </c>
      <c r="V195" s="23" t="s">
        <v>299</v>
      </c>
      <c r="W195" s="28"/>
      <c r="AA195" s="31"/>
    </row>
    <row r="196" spans="1:27" ht="25.5">
      <c r="A196" s="21" t="s">
        <v>296</v>
      </c>
      <c r="B196" s="22" t="s">
        <v>269</v>
      </c>
      <c r="C196" s="22" t="s">
        <v>269</v>
      </c>
      <c r="D196" s="21" t="s">
        <v>21</v>
      </c>
      <c r="E196" s="21" t="s">
        <v>21</v>
      </c>
      <c r="F196" s="23" t="s">
        <v>136</v>
      </c>
      <c r="G196" s="71">
        <v>15.402590909090907</v>
      </c>
      <c r="H196" s="25">
        <f t="shared" si="17"/>
        <v>1.1875937807636145</v>
      </c>
      <c r="I196" s="71">
        <v>3.7735338102698135</v>
      </c>
      <c r="J196" s="26">
        <f t="shared" si="14"/>
        <v>1.1491211159461188</v>
      </c>
      <c r="K196" s="24">
        <f t="shared" si="19"/>
        <v>16.66061660213006</v>
      </c>
      <c r="L196" s="24">
        <f t="shared" si="18"/>
        <v>4.69041575982343</v>
      </c>
      <c r="M196" s="28">
        <v>22</v>
      </c>
      <c r="N196" s="28" t="s">
        <v>302</v>
      </c>
      <c r="O196" s="38"/>
      <c r="P196" s="75" t="s">
        <v>303</v>
      </c>
      <c r="U196" s="32" t="s">
        <v>26</v>
      </c>
      <c r="V196" s="23" t="s">
        <v>299</v>
      </c>
      <c r="W196" s="28"/>
      <c r="AA196" s="31"/>
    </row>
    <row r="197" spans="1:27" ht="25.5">
      <c r="A197" s="21" t="s">
        <v>296</v>
      </c>
      <c r="B197" s="22" t="s">
        <v>269</v>
      </c>
      <c r="C197" s="22" t="s">
        <v>269</v>
      </c>
      <c r="D197" s="21" t="s">
        <v>21</v>
      </c>
      <c r="E197" s="21" t="s">
        <v>21</v>
      </c>
      <c r="F197" s="23" t="s">
        <v>136</v>
      </c>
      <c r="G197" s="71">
        <v>14.866656362259803</v>
      </c>
      <c r="H197" s="25">
        <f t="shared" si="17"/>
        <v>1.172213302973516</v>
      </c>
      <c r="I197" s="71">
        <v>1.7497162393371655</v>
      </c>
      <c r="J197" s="26">
        <f t="shared" si="14"/>
        <v>0.5130162479913147</v>
      </c>
      <c r="K197" s="24">
        <f t="shared" si="19"/>
        <v>72.19238019016213</v>
      </c>
      <c r="L197" s="24">
        <f t="shared" si="18"/>
        <v>4.358898943540674</v>
      </c>
      <c r="M197" s="28">
        <v>19</v>
      </c>
      <c r="N197" s="28" t="s">
        <v>304</v>
      </c>
      <c r="O197" s="29"/>
      <c r="P197" s="75" t="s">
        <v>305</v>
      </c>
      <c r="U197" s="32" t="s">
        <v>26</v>
      </c>
      <c r="V197" s="23" t="s">
        <v>299</v>
      </c>
      <c r="W197" s="28"/>
      <c r="AA197" s="31"/>
    </row>
    <row r="198" spans="1:27" ht="12.75">
      <c r="A198" s="21" t="s">
        <v>296</v>
      </c>
      <c r="B198" s="22" t="s">
        <v>269</v>
      </c>
      <c r="C198" s="22" t="s">
        <v>269</v>
      </c>
      <c r="D198" s="21" t="s">
        <v>21</v>
      </c>
      <c r="E198" s="21" t="s">
        <v>21</v>
      </c>
      <c r="F198" s="23" t="s">
        <v>136</v>
      </c>
      <c r="G198" s="29">
        <v>19.733555555555558</v>
      </c>
      <c r="H198" s="25">
        <f t="shared" si="17"/>
        <v>1.2952053426793448</v>
      </c>
      <c r="I198" s="29">
        <v>1.5896884929823196</v>
      </c>
      <c r="J198" s="26">
        <f t="shared" si="14"/>
        <v>0.3417770842757917</v>
      </c>
      <c r="K198" s="24">
        <f t="shared" si="19"/>
        <v>154.09431769253015</v>
      </c>
      <c r="L198" s="24">
        <f t="shared" si="18"/>
        <v>4.242640687119285</v>
      </c>
      <c r="M198" s="27">
        <v>18</v>
      </c>
      <c r="N198" s="36" t="s">
        <v>306</v>
      </c>
      <c r="O198" s="29">
        <v>0.8888736681887365</v>
      </c>
      <c r="P198" s="23" t="s">
        <v>307</v>
      </c>
      <c r="U198" s="32" t="s">
        <v>26</v>
      </c>
      <c r="V198" s="23" t="s">
        <v>299</v>
      </c>
      <c r="W198" s="23"/>
      <c r="AA198" s="31"/>
    </row>
    <row r="199" spans="1:27" ht="12.75">
      <c r="A199" s="21" t="s">
        <v>296</v>
      </c>
      <c r="B199" s="22" t="s">
        <v>269</v>
      </c>
      <c r="C199" s="22" t="s">
        <v>269</v>
      </c>
      <c r="D199" s="21" t="s">
        <v>21</v>
      </c>
      <c r="E199" s="21" t="s">
        <v>21</v>
      </c>
      <c r="F199" s="23" t="s">
        <v>136</v>
      </c>
      <c r="G199" s="29">
        <v>14.6633333333333</v>
      </c>
      <c r="H199" s="25">
        <f t="shared" si="17"/>
        <v>1.1662327072571996</v>
      </c>
      <c r="I199" s="29">
        <v>0.9029199546163799</v>
      </c>
      <c r="J199" s="26">
        <f t="shared" si="14"/>
        <v>0.15083154130850737</v>
      </c>
      <c r="K199" s="24">
        <f t="shared" si="19"/>
        <v>263.7344801550402</v>
      </c>
      <c r="L199" s="24">
        <f t="shared" si="18"/>
        <v>2.449489742783178</v>
      </c>
      <c r="M199" s="27">
        <v>6</v>
      </c>
      <c r="N199" s="28" t="s">
        <v>308</v>
      </c>
      <c r="O199" s="29"/>
      <c r="P199" s="23" t="s">
        <v>309</v>
      </c>
      <c r="U199" s="32" t="s">
        <v>32</v>
      </c>
      <c r="V199" s="23" t="s">
        <v>310</v>
      </c>
      <c r="W199" s="23"/>
      <c r="AA199" s="31"/>
    </row>
    <row r="200" spans="1:27" ht="25.5">
      <c r="A200" s="21" t="s">
        <v>296</v>
      </c>
      <c r="B200" s="22" t="s">
        <v>269</v>
      </c>
      <c r="C200" s="22" t="s">
        <v>269</v>
      </c>
      <c r="D200" s="21" t="s">
        <v>34</v>
      </c>
      <c r="E200" s="21" t="s">
        <v>35</v>
      </c>
      <c r="F200" s="23" t="s">
        <v>36</v>
      </c>
      <c r="G200" s="71">
        <v>9.785714285714286</v>
      </c>
      <c r="H200" s="25">
        <f t="shared" si="17"/>
        <v>0.9905925314781687</v>
      </c>
      <c r="I200" s="29" t="s">
        <v>68</v>
      </c>
      <c r="J200" s="26" t="e">
        <f t="shared" si="14"/>
        <v>#VALUE!</v>
      </c>
      <c r="K200" s="24" t="e">
        <f t="shared" si="19"/>
        <v>#VALUE!</v>
      </c>
      <c r="L200" s="24">
        <f t="shared" si="18"/>
        <v>4.58257569495584</v>
      </c>
      <c r="M200" s="28">
        <v>21</v>
      </c>
      <c r="N200" s="28" t="s">
        <v>297</v>
      </c>
      <c r="P200" s="75" t="s">
        <v>311</v>
      </c>
      <c r="U200" s="32" t="s">
        <v>26</v>
      </c>
      <c r="V200" s="23" t="s">
        <v>299</v>
      </c>
      <c r="W200" s="75"/>
      <c r="AA200" s="31"/>
    </row>
    <row r="201" spans="1:27" ht="25.5">
      <c r="A201" s="21" t="s">
        <v>296</v>
      </c>
      <c r="B201" s="22" t="s">
        <v>269</v>
      </c>
      <c r="C201" s="22" t="s">
        <v>269</v>
      </c>
      <c r="D201" s="21" t="s">
        <v>34</v>
      </c>
      <c r="E201" s="21" t="s">
        <v>35</v>
      </c>
      <c r="F201" s="23" t="s">
        <v>36</v>
      </c>
      <c r="G201" s="71">
        <v>6.403846153846154</v>
      </c>
      <c r="H201" s="25">
        <f t="shared" si="17"/>
        <v>0.8064408898715207</v>
      </c>
      <c r="I201" s="71">
        <v>0.38659879639055955</v>
      </c>
      <c r="J201" s="26">
        <f t="shared" si="14"/>
        <v>0.3078266965459497</v>
      </c>
      <c r="K201" s="24">
        <f t="shared" si="19"/>
        <v>274.38526457000324</v>
      </c>
      <c r="L201" s="24">
        <f t="shared" si="18"/>
        <v>5.0990195135927845</v>
      </c>
      <c r="M201" s="28">
        <v>26</v>
      </c>
      <c r="N201" s="28" t="s">
        <v>300</v>
      </c>
      <c r="O201" s="29"/>
      <c r="P201" s="75" t="s">
        <v>312</v>
      </c>
      <c r="U201" s="32" t="s">
        <v>26</v>
      </c>
      <c r="V201" s="23" t="s">
        <v>299</v>
      </c>
      <c r="W201" s="75"/>
      <c r="AA201" s="31"/>
    </row>
    <row r="202" spans="1:27" ht="25.5">
      <c r="A202" s="21" t="s">
        <v>296</v>
      </c>
      <c r="B202" s="22" t="s">
        <v>269</v>
      </c>
      <c r="C202" s="22" t="s">
        <v>269</v>
      </c>
      <c r="D202" s="21" t="s">
        <v>34</v>
      </c>
      <c r="E202" s="21" t="s">
        <v>35</v>
      </c>
      <c r="F202" s="23" t="s">
        <v>36</v>
      </c>
      <c r="G202" s="71">
        <v>4.722222222222222</v>
      </c>
      <c r="H202" s="25">
        <f t="shared" si="17"/>
        <v>0.6741464206109866</v>
      </c>
      <c r="I202" s="71">
        <v>1.0782015203655193</v>
      </c>
      <c r="J202" s="26">
        <f t="shared" si="14"/>
        <v>0.6849750835263299</v>
      </c>
      <c r="K202" s="24">
        <f t="shared" si="19"/>
        <v>19.18195913512597</v>
      </c>
      <c r="L202" s="24">
        <f t="shared" si="18"/>
        <v>3</v>
      </c>
      <c r="M202" s="28">
        <v>9</v>
      </c>
      <c r="N202" s="28" t="s">
        <v>302</v>
      </c>
      <c r="O202" s="29"/>
      <c r="P202" s="75" t="s">
        <v>313</v>
      </c>
      <c r="U202" s="32" t="s">
        <v>26</v>
      </c>
      <c r="V202" s="23" t="s">
        <v>299</v>
      </c>
      <c r="W202" s="75"/>
      <c r="AA202" s="31"/>
    </row>
    <row r="203" spans="1:27" ht="25.5">
      <c r="A203" s="21" t="s">
        <v>296</v>
      </c>
      <c r="B203" s="22" t="s">
        <v>269</v>
      </c>
      <c r="C203" s="22" t="s">
        <v>269</v>
      </c>
      <c r="D203" s="21" t="s">
        <v>34</v>
      </c>
      <c r="E203" s="21" t="s">
        <v>35</v>
      </c>
      <c r="F203" s="23" t="s">
        <v>36</v>
      </c>
      <c r="G203" s="29">
        <v>2.1507323347844056</v>
      </c>
      <c r="H203" s="25">
        <f t="shared" si="17"/>
        <v>0.3325863644742196</v>
      </c>
      <c r="I203" s="29">
        <v>0.31155896075925155</v>
      </c>
      <c r="J203" s="26">
        <f t="shared" si="14"/>
        <v>0.3239208357030218</v>
      </c>
      <c r="K203" s="24">
        <f t="shared" si="19"/>
        <v>47.65321824302253</v>
      </c>
      <c r="L203" s="24">
        <f t="shared" si="18"/>
        <v>2.23606797749979</v>
      </c>
      <c r="M203" s="27">
        <v>5</v>
      </c>
      <c r="N203" s="28" t="s">
        <v>314</v>
      </c>
      <c r="O203" s="29">
        <v>0.2821917808219178</v>
      </c>
      <c r="P203" s="23" t="s">
        <v>315</v>
      </c>
      <c r="U203" s="32" t="s">
        <v>26</v>
      </c>
      <c r="V203" s="23" t="s">
        <v>299</v>
      </c>
      <c r="W203" s="23"/>
      <c r="AA203" s="31"/>
    </row>
    <row r="204" spans="1:27" ht="12.75">
      <c r="A204" s="21" t="s">
        <v>296</v>
      </c>
      <c r="B204" s="22" t="s">
        <v>269</v>
      </c>
      <c r="C204" s="22" t="s">
        <v>269</v>
      </c>
      <c r="D204" s="21" t="s">
        <v>34</v>
      </c>
      <c r="E204" s="21" t="s">
        <v>35</v>
      </c>
      <c r="F204" s="23" t="s">
        <v>36</v>
      </c>
      <c r="G204" s="29">
        <v>2.308846153846154</v>
      </c>
      <c r="H204" s="25">
        <f t="shared" si="17"/>
        <v>0.36339499538505593</v>
      </c>
      <c r="I204" s="29">
        <v>0.30164378629616945</v>
      </c>
      <c r="J204" s="26">
        <f t="shared" si="14"/>
        <v>0.4710543994471841</v>
      </c>
      <c r="K204" s="24">
        <f t="shared" si="19"/>
        <v>58.586995092371275</v>
      </c>
      <c r="L204" s="24">
        <f t="shared" si="18"/>
        <v>3.605551275463989</v>
      </c>
      <c r="M204" s="27">
        <v>13</v>
      </c>
      <c r="N204" s="28" t="s">
        <v>308</v>
      </c>
      <c r="O204" s="71" t="s">
        <v>308</v>
      </c>
      <c r="P204" s="23" t="s">
        <v>316</v>
      </c>
      <c r="U204" s="32" t="s">
        <v>32</v>
      </c>
      <c r="V204" s="23" t="s">
        <v>317</v>
      </c>
      <c r="W204" s="23"/>
      <c r="AA204" s="31"/>
    </row>
    <row r="205" spans="1:27" ht="25.5">
      <c r="A205" s="21" t="s">
        <v>296</v>
      </c>
      <c r="B205" s="22" t="s">
        <v>269</v>
      </c>
      <c r="C205" s="22" t="s">
        <v>269</v>
      </c>
      <c r="D205" s="21" t="s">
        <v>258</v>
      </c>
      <c r="E205" s="21" t="s">
        <v>39</v>
      </c>
      <c r="F205" s="23" t="s">
        <v>40</v>
      </c>
      <c r="G205" s="71">
        <v>9.785714285714286</v>
      </c>
      <c r="H205" s="25">
        <f t="shared" si="17"/>
        <v>0.9905925314781687</v>
      </c>
      <c r="I205" s="29" t="s">
        <v>68</v>
      </c>
      <c r="J205" s="26" t="e">
        <f t="shared" si="14"/>
        <v>#VALUE!</v>
      </c>
      <c r="K205" s="24" t="e">
        <f t="shared" si="19"/>
        <v>#VALUE!</v>
      </c>
      <c r="L205" s="24">
        <f t="shared" si="18"/>
        <v>4.58257569495584</v>
      </c>
      <c r="M205" s="28">
        <v>21</v>
      </c>
      <c r="N205" s="28" t="s">
        <v>297</v>
      </c>
      <c r="O205" s="71"/>
      <c r="P205" s="75" t="s">
        <v>311</v>
      </c>
      <c r="U205" s="32" t="s">
        <v>26</v>
      </c>
      <c r="V205" s="23" t="s">
        <v>299</v>
      </c>
      <c r="W205" s="75"/>
      <c r="AA205" s="31"/>
    </row>
    <row r="206" spans="1:27" ht="25.5">
      <c r="A206" s="21" t="s">
        <v>296</v>
      </c>
      <c r="B206" s="22" t="s">
        <v>269</v>
      </c>
      <c r="C206" s="22" t="s">
        <v>269</v>
      </c>
      <c r="D206" s="21" t="s">
        <v>258</v>
      </c>
      <c r="E206" s="21" t="s">
        <v>39</v>
      </c>
      <c r="F206" s="23" t="s">
        <v>40</v>
      </c>
      <c r="G206" s="71">
        <v>3.15</v>
      </c>
      <c r="H206" s="25">
        <f t="shared" si="17"/>
        <v>0.4983105537896005</v>
      </c>
      <c r="I206" s="71">
        <v>0.39918009938904986</v>
      </c>
      <c r="J206" s="26">
        <f t="shared" si="14"/>
        <v>0.646167338483388</v>
      </c>
      <c r="K206" s="24">
        <f t="shared" si="19"/>
        <v>62.27064205840006</v>
      </c>
      <c r="L206" s="24">
        <f t="shared" si="18"/>
        <v>5.0990195135927845</v>
      </c>
      <c r="M206" s="28">
        <v>26</v>
      </c>
      <c r="N206" s="28" t="s">
        <v>300</v>
      </c>
      <c r="O206" s="29"/>
      <c r="P206" s="75" t="s">
        <v>318</v>
      </c>
      <c r="U206" s="32" t="s">
        <v>26</v>
      </c>
      <c r="V206" s="23" t="s">
        <v>299</v>
      </c>
      <c r="W206" s="75"/>
      <c r="AA206" s="31"/>
    </row>
    <row r="207" spans="1:27" ht="25.5">
      <c r="A207" s="21" t="s">
        <v>296</v>
      </c>
      <c r="B207" s="22" t="s">
        <v>269</v>
      </c>
      <c r="C207" s="22" t="s">
        <v>269</v>
      </c>
      <c r="D207" s="21" t="s">
        <v>258</v>
      </c>
      <c r="E207" s="21" t="s">
        <v>39</v>
      </c>
      <c r="F207" s="23" t="s">
        <v>40</v>
      </c>
      <c r="G207" s="71">
        <v>2.988888888888889</v>
      </c>
      <c r="H207" s="25">
        <f t="shared" si="17"/>
        <v>0.47550977056308313</v>
      </c>
      <c r="I207" s="71">
        <v>0.78</v>
      </c>
      <c r="J207" s="26">
        <f aca="true" t="shared" si="20" ref="J207:J270">(I207*(M207^0.5))/G207</f>
        <v>0.782899628252788</v>
      </c>
      <c r="K207" s="24">
        <f t="shared" si="19"/>
        <v>14.683525296060909</v>
      </c>
      <c r="L207" s="24">
        <f t="shared" si="18"/>
        <v>3</v>
      </c>
      <c r="M207" s="28">
        <v>9</v>
      </c>
      <c r="N207" s="28" t="s">
        <v>302</v>
      </c>
      <c r="O207" s="29"/>
      <c r="P207" s="75" t="s">
        <v>319</v>
      </c>
      <c r="U207" s="32" t="s">
        <v>26</v>
      </c>
      <c r="V207" s="23" t="s">
        <v>299</v>
      </c>
      <c r="W207" s="75"/>
      <c r="AA207" s="31"/>
    </row>
    <row r="208" spans="1:27" ht="12.75">
      <c r="A208" s="21" t="s">
        <v>296</v>
      </c>
      <c r="B208" s="22" t="s">
        <v>269</v>
      </c>
      <c r="C208" s="22" t="s">
        <v>269</v>
      </c>
      <c r="D208" s="21" t="s">
        <v>258</v>
      </c>
      <c r="E208" s="21" t="s">
        <v>39</v>
      </c>
      <c r="F208" s="23" t="s">
        <v>40</v>
      </c>
      <c r="G208" s="24">
        <v>1.5340924938857763</v>
      </c>
      <c r="H208" s="25">
        <f t="shared" si="17"/>
        <v>0.18585154499315826</v>
      </c>
      <c r="I208" s="24">
        <v>0.4034336549536127</v>
      </c>
      <c r="J208" s="26">
        <f t="shared" si="20"/>
        <v>0.5880382574602707</v>
      </c>
      <c r="K208" s="24">
        <f t="shared" si="19"/>
        <v>14.459685277009434</v>
      </c>
      <c r="L208" s="24">
        <f t="shared" si="18"/>
        <v>2.23606797749979</v>
      </c>
      <c r="M208" s="27">
        <v>5</v>
      </c>
      <c r="N208" s="28" t="s">
        <v>320</v>
      </c>
      <c r="O208" s="29">
        <v>0.2821917808219178</v>
      </c>
      <c r="P208" s="23" t="s">
        <v>315</v>
      </c>
      <c r="U208" s="32" t="s">
        <v>26</v>
      </c>
      <c r="V208" s="23" t="s">
        <v>299</v>
      </c>
      <c r="W208" s="23"/>
      <c r="AA208" s="31"/>
    </row>
    <row r="209" spans="1:27" ht="12.75">
      <c r="A209" s="21" t="s">
        <v>321</v>
      </c>
      <c r="B209" s="22" t="s">
        <v>322</v>
      </c>
      <c r="C209" s="32" t="s">
        <v>156</v>
      </c>
      <c r="D209" s="21" t="s">
        <v>157</v>
      </c>
      <c r="E209" s="21" t="s">
        <v>35</v>
      </c>
      <c r="F209" s="23" t="s">
        <v>36</v>
      </c>
      <c r="G209" s="24">
        <v>11.2</v>
      </c>
      <c r="H209" s="25">
        <v>1.0492180226701815</v>
      </c>
      <c r="I209" s="24" t="s">
        <v>68</v>
      </c>
      <c r="J209" s="26" t="e">
        <f t="shared" si="20"/>
        <v>#VALUE!</v>
      </c>
      <c r="K209" s="24" t="e">
        <f t="shared" si="19"/>
        <v>#VALUE!</v>
      </c>
      <c r="L209" s="24">
        <f t="shared" si="18"/>
        <v>2.23606797749979</v>
      </c>
      <c r="M209" s="27">
        <v>5</v>
      </c>
      <c r="N209" s="28" t="s">
        <v>158</v>
      </c>
      <c r="O209" s="29"/>
      <c r="P209" s="23" t="s">
        <v>159</v>
      </c>
      <c r="R209" s="31" t="s">
        <v>160</v>
      </c>
      <c r="U209" s="32"/>
      <c r="V209" s="23"/>
      <c r="W209" s="23"/>
      <c r="AA209" s="31"/>
    </row>
    <row r="210" spans="1:26" ht="12.75">
      <c r="A210" s="39" t="s">
        <v>321</v>
      </c>
      <c r="B210" s="22" t="s">
        <v>322</v>
      </c>
      <c r="C210" s="32" t="s">
        <v>156</v>
      </c>
      <c r="D210" s="39" t="s">
        <v>323</v>
      </c>
      <c r="E210" s="21" t="s">
        <v>35</v>
      </c>
      <c r="F210" s="39" t="s">
        <v>36</v>
      </c>
      <c r="G210" s="26">
        <v>2.4</v>
      </c>
      <c r="H210" s="40">
        <f>LOG10(G210)</f>
        <v>0.38021124171160603</v>
      </c>
      <c r="I210" s="26">
        <v>0.17366703907234995</v>
      </c>
      <c r="J210" s="26">
        <f t="shared" si="20"/>
        <v>0.41568382732911746</v>
      </c>
      <c r="K210" s="42">
        <f t="shared" si="19"/>
        <v>190.97990971289462</v>
      </c>
      <c r="L210" s="42">
        <f t="shared" si="18"/>
        <v>5.744562646538029</v>
      </c>
      <c r="M210" s="43">
        <v>33</v>
      </c>
      <c r="N210" s="39" t="s">
        <v>324</v>
      </c>
      <c r="O210" s="60"/>
      <c r="P210" s="39" t="s">
        <v>162</v>
      </c>
      <c r="Q210" s="43"/>
      <c r="R210" s="39" t="s">
        <v>163</v>
      </c>
      <c r="S210" s="39"/>
      <c r="T210" s="32"/>
      <c r="U210" s="32"/>
      <c r="V210" s="32"/>
      <c r="W210" s="32"/>
      <c r="X210" s="32"/>
      <c r="Y210" s="32"/>
      <c r="Z210" s="32"/>
    </row>
    <row r="211" spans="1:27" s="32" customFormat="1" ht="12.75">
      <c r="A211" s="21" t="s">
        <v>325</v>
      </c>
      <c r="B211" s="22" t="s">
        <v>19</v>
      </c>
      <c r="C211" s="22" t="s">
        <v>20</v>
      </c>
      <c r="D211" s="21" t="s">
        <v>326</v>
      </c>
      <c r="E211" s="50" t="s">
        <v>138</v>
      </c>
      <c r="F211" s="39" t="s">
        <v>139</v>
      </c>
      <c r="G211" s="37">
        <v>0.16846597462514418</v>
      </c>
      <c r="H211" s="25">
        <f aca="true" t="shared" si="21" ref="H211:H271">LOG(G211)</f>
        <v>-0.773487801170779</v>
      </c>
      <c r="I211" s="37">
        <v>0.044869385270736</v>
      </c>
      <c r="J211" s="26">
        <f t="shared" si="20"/>
        <v>0.7990228063068899</v>
      </c>
      <c r="K211" s="24">
        <f t="shared" si="19"/>
        <v>14.096917514010498</v>
      </c>
      <c r="L211" s="24">
        <f t="shared" si="18"/>
        <v>3</v>
      </c>
      <c r="M211" s="27">
        <v>9</v>
      </c>
      <c r="N211" s="28" t="s">
        <v>327</v>
      </c>
      <c r="O211" s="29">
        <v>1.8148148148148149</v>
      </c>
      <c r="P211" s="23" t="s">
        <v>328</v>
      </c>
      <c r="Q211" s="30"/>
      <c r="R211" s="31"/>
      <c r="S211" s="31"/>
      <c r="T211" s="31"/>
      <c r="U211" s="32" t="s">
        <v>26</v>
      </c>
      <c r="V211" s="23" t="s">
        <v>325</v>
      </c>
      <c r="W211" s="23"/>
      <c r="X211" s="31"/>
      <c r="Y211" s="31"/>
      <c r="Z211" s="31"/>
      <c r="AA211" s="31"/>
    </row>
    <row r="212" spans="1:27" s="32" customFormat="1" ht="12.75">
      <c r="A212" s="21" t="s">
        <v>325</v>
      </c>
      <c r="B212" s="22" t="s">
        <v>19</v>
      </c>
      <c r="C212" s="22" t="s">
        <v>20</v>
      </c>
      <c r="D212" s="21" t="s">
        <v>326</v>
      </c>
      <c r="E212" s="50" t="s">
        <v>138</v>
      </c>
      <c r="F212" s="39" t="s">
        <v>139</v>
      </c>
      <c r="G212" s="37">
        <v>0.4094691666666667</v>
      </c>
      <c r="H212" s="25">
        <f t="shared" si="21"/>
        <v>-0.387778795370423</v>
      </c>
      <c r="I212" s="37">
        <v>0.024024584991790846</v>
      </c>
      <c r="J212" s="26">
        <f t="shared" si="20"/>
        <v>0.14371771870168737</v>
      </c>
      <c r="K212" s="24">
        <f t="shared" si="19"/>
        <v>290.48962151793717</v>
      </c>
      <c r="L212" s="24">
        <f t="shared" si="18"/>
        <v>2.449489742783178</v>
      </c>
      <c r="M212" s="27">
        <v>6</v>
      </c>
      <c r="N212" s="28" t="s">
        <v>308</v>
      </c>
      <c r="O212" s="29"/>
      <c r="P212" s="23" t="s">
        <v>329</v>
      </c>
      <c r="Q212" s="30"/>
      <c r="R212" s="31"/>
      <c r="S212" s="31"/>
      <c r="T212" s="31"/>
      <c r="U212" s="32" t="s">
        <v>32</v>
      </c>
      <c r="V212" s="23" t="s">
        <v>330</v>
      </c>
      <c r="W212" s="23"/>
      <c r="X212" s="31"/>
      <c r="Y212" s="31"/>
      <c r="Z212" s="31"/>
      <c r="AA212" s="31"/>
    </row>
    <row r="213" spans="1:27" s="32" customFormat="1" ht="12.75">
      <c r="A213" s="21" t="s">
        <v>325</v>
      </c>
      <c r="B213" s="22" t="s">
        <v>19</v>
      </c>
      <c r="C213" s="22" t="s">
        <v>20</v>
      </c>
      <c r="D213" s="21" t="s">
        <v>34</v>
      </c>
      <c r="E213" s="21" t="s">
        <v>35</v>
      </c>
      <c r="F213" s="23" t="s">
        <v>36</v>
      </c>
      <c r="G213" s="24">
        <v>1.7666666666666666</v>
      </c>
      <c r="H213" s="25">
        <f t="shared" si="21"/>
        <v>0.24715461488112658</v>
      </c>
      <c r="I213" s="24">
        <v>0.2598076211353317</v>
      </c>
      <c r="J213" s="26">
        <f t="shared" si="20"/>
        <v>0.4411827528713179</v>
      </c>
      <c r="K213" s="24">
        <f t="shared" si="19"/>
        <v>46.23868312757198</v>
      </c>
      <c r="L213" s="24">
        <f t="shared" si="18"/>
        <v>3</v>
      </c>
      <c r="M213" s="27">
        <v>9</v>
      </c>
      <c r="N213" s="28" t="s">
        <v>327</v>
      </c>
      <c r="O213" s="29">
        <v>1.8148148148148149</v>
      </c>
      <c r="P213" s="23" t="s">
        <v>328</v>
      </c>
      <c r="Q213" s="30"/>
      <c r="R213" s="31"/>
      <c r="S213" s="31"/>
      <c r="T213" s="31"/>
      <c r="U213" s="32" t="s">
        <v>26</v>
      </c>
      <c r="V213" s="23" t="s">
        <v>325</v>
      </c>
      <c r="W213" s="23"/>
      <c r="X213" s="31"/>
      <c r="Y213" s="31"/>
      <c r="Z213" s="31"/>
      <c r="AA213" s="31"/>
    </row>
    <row r="214" spans="1:27" s="32" customFormat="1" ht="12.75">
      <c r="A214" s="21" t="s">
        <v>325</v>
      </c>
      <c r="B214" s="22" t="s">
        <v>19</v>
      </c>
      <c r="C214" s="22" t="s">
        <v>20</v>
      </c>
      <c r="D214" s="21" t="s">
        <v>34</v>
      </c>
      <c r="E214" s="21" t="s">
        <v>35</v>
      </c>
      <c r="F214" s="23" t="s">
        <v>36</v>
      </c>
      <c r="G214" s="24">
        <v>1.946666666666667</v>
      </c>
      <c r="H214" s="25">
        <f t="shared" si="21"/>
        <v>0.2892915923927371</v>
      </c>
      <c r="I214" s="24">
        <v>0.11717801769396763</v>
      </c>
      <c r="J214" s="26">
        <f t="shared" si="20"/>
        <v>0.233131084453939</v>
      </c>
      <c r="K214" s="24">
        <f t="shared" si="19"/>
        <v>275.9884397518408</v>
      </c>
      <c r="L214" s="24">
        <f t="shared" si="18"/>
        <v>3.872983346207417</v>
      </c>
      <c r="M214" s="27">
        <v>15</v>
      </c>
      <c r="N214" s="28" t="s">
        <v>308</v>
      </c>
      <c r="O214" s="29"/>
      <c r="P214" s="23" t="s">
        <v>331</v>
      </c>
      <c r="Q214" s="30"/>
      <c r="R214" s="31"/>
      <c r="S214" s="31"/>
      <c r="T214" s="31"/>
      <c r="U214" s="32" t="s">
        <v>32</v>
      </c>
      <c r="V214" s="23" t="s">
        <v>332</v>
      </c>
      <c r="W214" s="23"/>
      <c r="X214" s="31"/>
      <c r="Y214" s="31"/>
      <c r="Z214" s="31"/>
      <c r="AA214" s="31"/>
    </row>
    <row r="215" spans="1:27" ht="12.75">
      <c r="A215" s="21" t="s">
        <v>333</v>
      </c>
      <c r="B215" s="22" t="s">
        <v>269</v>
      </c>
      <c r="C215" s="22" t="s">
        <v>269</v>
      </c>
      <c r="D215" s="21" t="s">
        <v>34</v>
      </c>
      <c r="E215" s="21" t="s">
        <v>35</v>
      </c>
      <c r="F215" s="23" t="s">
        <v>36</v>
      </c>
      <c r="G215" s="29">
        <v>21.885714285714283</v>
      </c>
      <c r="H215" s="25">
        <f t="shared" si="21"/>
        <v>1.3401607252823282</v>
      </c>
      <c r="I215" s="29">
        <v>1.9917004665107982</v>
      </c>
      <c r="J215" s="26">
        <f t="shared" si="20"/>
        <v>0.24077551464511954</v>
      </c>
      <c r="K215" s="24">
        <f t="shared" si="19"/>
        <v>120.74618009706202</v>
      </c>
      <c r="L215" s="24">
        <f t="shared" si="18"/>
        <v>2.6457513110645907</v>
      </c>
      <c r="M215" s="27">
        <v>7</v>
      </c>
      <c r="N215" s="28" t="s">
        <v>27</v>
      </c>
      <c r="O215" s="29" t="s">
        <v>275</v>
      </c>
      <c r="P215" s="23" t="s">
        <v>334</v>
      </c>
      <c r="U215" s="32" t="s">
        <v>31</v>
      </c>
      <c r="V215" s="23" t="s">
        <v>333</v>
      </c>
      <c r="W215" s="23"/>
      <c r="AA215" s="31"/>
    </row>
    <row r="216" spans="1:27" ht="12.75">
      <c r="A216" s="21" t="s">
        <v>333</v>
      </c>
      <c r="B216" s="22" t="s">
        <v>269</v>
      </c>
      <c r="C216" s="22" t="s">
        <v>269</v>
      </c>
      <c r="D216" s="21" t="s">
        <v>34</v>
      </c>
      <c r="E216" s="21" t="s">
        <v>35</v>
      </c>
      <c r="F216" s="23" t="s">
        <v>36</v>
      </c>
      <c r="G216" s="27">
        <v>6.55</v>
      </c>
      <c r="H216" s="25">
        <f t="shared" si="21"/>
        <v>0.8162412999917831</v>
      </c>
      <c r="I216" s="24">
        <v>0.29760952365713905</v>
      </c>
      <c r="J216" s="26">
        <f t="shared" si="20"/>
        <v>0.12851402279307558</v>
      </c>
      <c r="K216" s="24">
        <f t="shared" si="19"/>
        <v>484.38306451612556</v>
      </c>
      <c r="L216" s="24">
        <f t="shared" si="18"/>
        <v>2.8284271247461903</v>
      </c>
      <c r="M216" s="27">
        <v>8</v>
      </c>
      <c r="N216" s="28" t="s">
        <v>308</v>
      </c>
      <c r="O216" s="29"/>
      <c r="P216" s="23" t="s">
        <v>334</v>
      </c>
      <c r="U216" s="32" t="s">
        <v>31</v>
      </c>
      <c r="V216" s="23" t="s">
        <v>333</v>
      </c>
      <c r="W216" s="23"/>
      <c r="AA216" s="31"/>
    </row>
    <row r="217" spans="1:27" ht="12.75">
      <c r="A217" s="21" t="s">
        <v>335</v>
      </c>
      <c r="B217" s="77" t="s">
        <v>336</v>
      </c>
      <c r="C217" s="22" t="s">
        <v>281</v>
      </c>
      <c r="D217" s="21" t="s">
        <v>101</v>
      </c>
      <c r="E217" s="21" t="s">
        <v>101</v>
      </c>
      <c r="F217" s="23" t="s">
        <v>337</v>
      </c>
      <c r="G217" s="29">
        <v>8.533333333333333</v>
      </c>
      <c r="H217" s="25">
        <f t="shared" si="21"/>
        <v>0.9311187105921871</v>
      </c>
      <c r="I217" s="29">
        <v>1.413194961779867</v>
      </c>
      <c r="J217" s="26">
        <f t="shared" si="20"/>
        <v>0.3703125</v>
      </c>
      <c r="K217" s="24">
        <f t="shared" si="19"/>
        <v>36.46139329523403</v>
      </c>
      <c r="L217" s="24">
        <f t="shared" si="18"/>
        <v>2.23606797749979</v>
      </c>
      <c r="M217" s="27">
        <v>5</v>
      </c>
      <c r="N217" s="28" t="s">
        <v>338</v>
      </c>
      <c r="O217" s="29">
        <f>3/365</f>
        <v>0.00821917808219178</v>
      </c>
      <c r="P217" s="23" t="s">
        <v>339</v>
      </c>
      <c r="U217" s="32" t="s">
        <v>26</v>
      </c>
      <c r="V217" s="23" t="s">
        <v>340</v>
      </c>
      <c r="W217" s="23"/>
      <c r="AA217" s="31"/>
    </row>
    <row r="218" spans="1:27" ht="12.75">
      <c r="A218" s="21" t="s">
        <v>335</v>
      </c>
      <c r="B218" s="77" t="s">
        <v>336</v>
      </c>
      <c r="C218" s="22" t="s">
        <v>281</v>
      </c>
      <c r="D218" s="21" t="s">
        <v>101</v>
      </c>
      <c r="E218" s="21" t="s">
        <v>101</v>
      </c>
      <c r="F218" s="23" t="s">
        <v>337</v>
      </c>
      <c r="G218" s="29">
        <v>3.3333333333333335</v>
      </c>
      <c r="H218" s="25">
        <f t="shared" si="21"/>
        <v>0.5228787452803376</v>
      </c>
      <c r="I218" s="29">
        <v>0.5493083674400768</v>
      </c>
      <c r="J218" s="26">
        <f t="shared" si="20"/>
        <v>0.43599999999999994</v>
      </c>
      <c r="K218" s="24">
        <f t="shared" si="19"/>
        <v>36.82349970541201</v>
      </c>
      <c r="L218" s="24">
        <f t="shared" si="18"/>
        <v>2.6457513110645907</v>
      </c>
      <c r="M218" s="27">
        <v>7</v>
      </c>
      <c r="N218" s="28" t="s">
        <v>341</v>
      </c>
      <c r="O218" s="29">
        <f>148.714/365</f>
        <v>0.4074356164383562</v>
      </c>
      <c r="P218" s="23" t="s">
        <v>339</v>
      </c>
      <c r="U218" s="32" t="s">
        <v>26</v>
      </c>
      <c r="V218" s="23" t="s">
        <v>340</v>
      </c>
      <c r="W218" s="23"/>
      <c r="AA218" s="31"/>
    </row>
    <row r="219" spans="1:27" ht="12.75">
      <c r="A219" s="21" t="s">
        <v>335</v>
      </c>
      <c r="B219" s="77" t="s">
        <v>336</v>
      </c>
      <c r="C219" s="22" t="s">
        <v>281</v>
      </c>
      <c r="D219" s="21" t="s">
        <v>21</v>
      </c>
      <c r="E219" s="21" t="s">
        <v>21</v>
      </c>
      <c r="F219" s="23" t="s">
        <v>136</v>
      </c>
      <c r="G219" s="24">
        <v>2.4833333333333334</v>
      </c>
      <c r="H219" s="25">
        <f t="shared" si="21"/>
        <v>0.3950350180286304</v>
      </c>
      <c r="I219" s="24">
        <v>0.49938851497495307</v>
      </c>
      <c r="J219" s="26">
        <f t="shared" si="20"/>
        <v>0.44966442953020136</v>
      </c>
      <c r="K219" s="24">
        <f t="shared" si="19"/>
        <v>24.728224548897302</v>
      </c>
      <c r="L219" s="24">
        <f t="shared" si="18"/>
        <v>2.23606797749979</v>
      </c>
      <c r="M219" s="27">
        <v>5</v>
      </c>
      <c r="N219" s="28" t="s">
        <v>338</v>
      </c>
      <c r="O219" s="29">
        <f>3/355</f>
        <v>0.008450704225352112</v>
      </c>
      <c r="P219" s="23" t="s">
        <v>339</v>
      </c>
      <c r="U219" s="32" t="s">
        <v>26</v>
      </c>
      <c r="V219" s="23" t="s">
        <v>340</v>
      </c>
      <c r="W219" s="23"/>
      <c r="AA219" s="31"/>
    </row>
    <row r="220" spans="1:27" ht="12.75">
      <c r="A220" s="21" t="s">
        <v>335</v>
      </c>
      <c r="B220" s="77" t="s">
        <v>336</v>
      </c>
      <c r="C220" s="22" t="s">
        <v>281</v>
      </c>
      <c r="D220" s="21" t="s">
        <v>21</v>
      </c>
      <c r="E220" s="21" t="s">
        <v>21</v>
      </c>
      <c r="F220" s="23" t="s">
        <v>136</v>
      </c>
      <c r="G220" s="24">
        <v>6.083333333333333</v>
      </c>
      <c r="H220" s="25">
        <f t="shared" si="21"/>
        <v>0.784141614072831</v>
      </c>
      <c r="I220" s="24">
        <v>1.3795703264836794</v>
      </c>
      <c r="J220" s="26">
        <f t="shared" si="20"/>
        <v>0.6000000000000001</v>
      </c>
      <c r="K220" s="24">
        <f t="shared" si="19"/>
        <v>19.444444444444443</v>
      </c>
      <c r="L220" s="24">
        <f t="shared" si="18"/>
        <v>2.6457513110645907</v>
      </c>
      <c r="M220" s="27">
        <v>7</v>
      </c>
      <c r="N220" s="28" t="s">
        <v>341</v>
      </c>
      <c r="O220" s="29">
        <f>148.714/365</f>
        <v>0.4074356164383562</v>
      </c>
      <c r="P220" s="23" t="s">
        <v>339</v>
      </c>
      <c r="U220" s="32" t="s">
        <v>26</v>
      </c>
      <c r="V220" s="23" t="s">
        <v>340</v>
      </c>
      <c r="W220" s="23"/>
      <c r="AA220" s="31"/>
    </row>
    <row r="221" spans="1:27" ht="25.5">
      <c r="A221" s="21" t="s">
        <v>335</v>
      </c>
      <c r="B221" s="77" t="s">
        <v>336</v>
      </c>
      <c r="C221" s="22" t="s">
        <v>281</v>
      </c>
      <c r="D221" s="22" t="s">
        <v>35</v>
      </c>
      <c r="E221" s="21" t="s">
        <v>35</v>
      </c>
      <c r="F221" s="32" t="s">
        <v>36</v>
      </c>
      <c r="G221" s="33">
        <v>3.71</v>
      </c>
      <c r="H221" s="25">
        <f t="shared" si="21"/>
        <v>0.5693739096150459</v>
      </c>
      <c r="I221" s="33">
        <v>0.31787344873670204</v>
      </c>
      <c r="J221" s="26">
        <f t="shared" si="20"/>
        <v>0.38317339062941264</v>
      </c>
      <c r="K221" s="24">
        <f t="shared" si="19"/>
        <v>136.21950935531564</v>
      </c>
      <c r="L221" s="24">
        <f aca="true" t="shared" si="22" ref="L221:L257">M221^0.5</f>
        <v>4.47213595499958</v>
      </c>
      <c r="M221" s="33">
        <v>20</v>
      </c>
      <c r="N221" s="28" t="s">
        <v>342</v>
      </c>
      <c r="O221" s="35"/>
      <c r="P221" s="75" t="s">
        <v>343</v>
      </c>
      <c r="U221" s="32" t="s">
        <v>51</v>
      </c>
      <c r="V221" s="23"/>
      <c r="W221" s="28"/>
      <c r="AA221" s="31"/>
    </row>
    <row r="222" spans="1:27" ht="12.75">
      <c r="A222" s="21" t="s">
        <v>335</v>
      </c>
      <c r="B222" s="77" t="s">
        <v>336</v>
      </c>
      <c r="C222" s="22" t="s">
        <v>281</v>
      </c>
      <c r="D222" s="21" t="s">
        <v>34</v>
      </c>
      <c r="E222" s="21" t="s">
        <v>35</v>
      </c>
      <c r="F222" s="23" t="s">
        <v>36</v>
      </c>
      <c r="G222" s="29">
        <v>2.1</v>
      </c>
      <c r="H222" s="25">
        <f t="shared" si="21"/>
        <v>0.3222192947339193</v>
      </c>
      <c r="I222" s="24">
        <v>0.3401680257083045</v>
      </c>
      <c r="J222" s="26">
        <f t="shared" si="20"/>
        <v>0.42857142857142855</v>
      </c>
      <c r="K222" s="24">
        <f t="shared" si="19"/>
        <v>38.11111111111111</v>
      </c>
      <c r="L222" s="24">
        <f t="shared" si="22"/>
        <v>2.6457513110645907</v>
      </c>
      <c r="M222" s="27">
        <v>7</v>
      </c>
      <c r="N222" s="28" t="s">
        <v>341</v>
      </c>
      <c r="O222" s="29">
        <f>148.714/365</f>
        <v>0.4074356164383562</v>
      </c>
      <c r="P222" s="23" t="s">
        <v>339</v>
      </c>
      <c r="U222" s="32" t="s">
        <v>51</v>
      </c>
      <c r="V222" s="23"/>
      <c r="W222" s="23"/>
      <c r="AA222" s="31"/>
    </row>
    <row r="223" spans="1:27" ht="12.75">
      <c r="A223" s="21" t="s">
        <v>335</v>
      </c>
      <c r="B223" s="77" t="s">
        <v>336</v>
      </c>
      <c r="C223" s="22" t="s">
        <v>281</v>
      </c>
      <c r="D223" s="22" t="s">
        <v>35</v>
      </c>
      <c r="E223" s="21" t="s">
        <v>35</v>
      </c>
      <c r="F223" s="32" t="s">
        <v>36</v>
      </c>
      <c r="G223" s="33">
        <v>4.5</v>
      </c>
      <c r="H223" s="25">
        <f t="shared" si="21"/>
        <v>0.6532125137753437</v>
      </c>
      <c r="I223" s="33">
        <v>0.6</v>
      </c>
      <c r="J223" s="26">
        <f t="shared" si="20"/>
        <v>0.35276684147527876</v>
      </c>
      <c r="K223" s="24">
        <f t="shared" si="19"/>
        <v>56.25</v>
      </c>
      <c r="L223" s="24">
        <f t="shared" si="22"/>
        <v>2.6457513110645907</v>
      </c>
      <c r="M223" s="33">
        <v>7</v>
      </c>
      <c r="N223" s="36" t="s">
        <v>344</v>
      </c>
      <c r="O223" s="35"/>
      <c r="P223" s="32" t="s">
        <v>345</v>
      </c>
      <c r="U223" s="32" t="s">
        <v>51</v>
      </c>
      <c r="V223" s="23"/>
      <c r="W223" s="32"/>
      <c r="AA223" s="31"/>
    </row>
    <row r="224" spans="1:27" ht="12.75">
      <c r="A224" s="21" t="s">
        <v>335</v>
      </c>
      <c r="B224" s="77" t="s">
        <v>336</v>
      </c>
      <c r="C224" s="22" t="s">
        <v>281</v>
      </c>
      <c r="D224" s="22" t="s">
        <v>35</v>
      </c>
      <c r="E224" s="21" t="s">
        <v>35</v>
      </c>
      <c r="F224" s="32" t="s">
        <v>36</v>
      </c>
      <c r="G224" s="33">
        <v>4.4</v>
      </c>
      <c r="H224" s="25">
        <f t="shared" si="21"/>
        <v>0.6434526764861874</v>
      </c>
      <c r="I224" s="33">
        <v>0.7</v>
      </c>
      <c r="J224" s="26">
        <f t="shared" si="20"/>
        <v>0.3181818181818181</v>
      </c>
      <c r="K224" s="24">
        <f t="shared" si="19"/>
        <v>39.510204081632665</v>
      </c>
      <c r="L224" s="24">
        <f t="shared" si="22"/>
        <v>2</v>
      </c>
      <c r="M224" s="33">
        <v>4</v>
      </c>
      <c r="N224" s="36" t="s">
        <v>346</v>
      </c>
      <c r="O224" s="35"/>
      <c r="P224" s="32" t="s">
        <v>345</v>
      </c>
      <c r="U224" s="32" t="s">
        <v>51</v>
      </c>
      <c r="V224" s="23"/>
      <c r="W224" s="32"/>
      <c r="AA224" s="31"/>
    </row>
    <row r="225" spans="1:27" ht="12.75">
      <c r="A225" s="21" t="s">
        <v>335</v>
      </c>
      <c r="B225" s="77" t="s">
        <v>336</v>
      </c>
      <c r="C225" s="22" t="s">
        <v>281</v>
      </c>
      <c r="D225" s="21" t="s">
        <v>34</v>
      </c>
      <c r="E225" s="21" t="s">
        <v>35</v>
      </c>
      <c r="F225" s="23" t="s">
        <v>36</v>
      </c>
      <c r="G225" s="47">
        <v>3.1278125</v>
      </c>
      <c r="H225" s="25">
        <f t="shared" si="21"/>
        <v>0.49524071093000416</v>
      </c>
      <c r="I225" s="47">
        <v>0.19462282678262877</v>
      </c>
      <c r="J225" s="26">
        <f t="shared" si="20"/>
        <v>0.30483068784686823</v>
      </c>
      <c r="K225" s="24">
        <f aca="true" t="shared" si="23" ref="K225:K270">(G225/I225)^2</f>
        <v>258.2818387639928</v>
      </c>
      <c r="L225" s="24">
        <f t="shared" si="22"/>
        <v>4.898979485566356</v>
      </c>
      <c r="M225" s="33">
        <v>24</v>
      </c>
      <c r="N225" s="36" t="s">
        <v>347</v>
      </c>
      <c r="O225" s="48"/>
      <c r="P225" s="23" t="s">
        <v>348</v>
      </c>
      <c r="U225" s="32" t="s">
        <v>51</v>
      </c>
      <c r="V225" s="23"/>
      <c r="W225" s="23"/>
      <c r="AA225" s="31"/>
    </row>
    <row r="226" spans="1:27" ht="12.75">
      <c r="A226" s="21" t="s">
        <v>335</v>
      </c>
      <c r="B226" s="77" t="s">
        <v>336</v>
      </c>
      <c r="C226" s="22" t="s">
        <v>281</v>
      </c>
      <c r="D226" s="21" t="s">
        <v>39</v>
      </c>
      <c r="E226" s="21" t="s">
        <v>39</v>
      </c>
      <c r="F226" s="23" t="s">
        <v>40</v>
      </c>
      <c r="G226" s="29">
        <v>0.7</v>
      </c>
      <c r="H226" s="25">
        <f t="shared" si="21"/>
        <v>-0.1549019599857432</v>
      </c>
      <c r="I226" s="24">
        <v>0.08944271909999159</v>
      </c>
      <c r="J226" s="26">
        <f t="shared" si="20"/>
        <v>0.28571428571428575</v>
      </c>
      <c r="K226" s="24">
        <f t="shared" si="23"/>
        <v>61.24999999999999</v>
      </c>
      <c r="L226" s="24">
        <f t="shared" si="22"/>
        <v>2.23606797749979</v>
      </c>
      <c r="M226" s="27">
        <v>5</v>
      </c>
      <c r="N226" s="28" t="s">
        <v>338</v>
      </c>
      <c r="O226" s="29">
        <f>3/355</f>
        <v>0.008450704225352112</v>
      </c>
      <c r="P226" s="23" t="s">
        <v>339</v>
      </c>
      <c r="U226" s="32" t="s">
        <v>51</v>
      </c>
      <c r="V226" s="23"/>
      <c r="W226" s="23"/>
      <c r="AA226" s="31"/>
    </row>
    <row r="227" spans="1:27" ht="12.75">
      <c r="A227" s="21" t="s">
        <v>335</v>
      </c>
      <c r="B227" s="77" t="s">
        <v>336</v>
      </c>
      <c r="C227" s="22" t="s">
        <v>281</v>
      </c>
      <c r="D227" s="21" t="s">
        <v>39</v>
      </c>
      <c r="E227" s="21" t="s">
        <v>39</v>
      </c>
      <c r="F227" s="23" t="s">
        <v>40</v>
      </c>
      <c r="G227" s="29">
        <v>0.9</v>
      </c>
      <c r="H227" s="25">
        <f t="shared" si="21"/>
        <v>-0.045757490560675115</v>
      </c>
      <c r="I227" s="24">
        <v>0.03779644730092272</v>
      </c>
      <c r="J227" s="26">
        <f t="shared" si="20"/>
        <v>0.11111111111111112</v>
      </c>
      <c r="K227" s="24">
        <f t="shared" si="23"/>
        <v>567</v>
      </c>
      <c r="L227" s="24">
        <f t="shared" si="22"/>
        <v>2.6457513110645907</v>
      </c>
      <c r="M227" s="27">
        <v>7</v>
      </c>
      <c r="N227" s="28" t="s">
        <v>341</v>
      </c>
      <c r="O227" s="29">
        <f>148.714/365</f>
        <v>0.4074356164383562</v>
      </c>
      <c r="P227" s="23" t="s">
        <v>339</v>
      </c>
      <c r="U227" s="32" t="s">
        <v>51</v>
      </c>
      <c r="V227" s="23"/>
      <c r="W227" s="23"/>
      <c r="AA227" s="31"/>
    </row>
    <row r="228" spans="1:27" ht="12.75">
      <c r="A228" s="21" t="s">
        <v>349</v>
      </c>
      <c r="B228" s="22" t="s">
        <v>350</v>
      </c>
      <c r="C228" s="22" t="s">
        <v>48</v>
      </c>
      <c r="D228" s="21" t="s">
        <v>101</v>
      </c>
      <c r="E228" s="21" t="s">
        <v>101</v>
      </c>
      <c r="F228" s="78" t="s">
        <v>351</v>
      </c>
      <c r="G228" s="24">
        <v>4.668</v>
      </c>
      <c r="H228" s="25">
        <f t="shared" si="21"/>
        <v>0.6691308473733326</v>
      </c>
      <c r="I228" s="24">
        <v>0.7038200527596997</v>
      </c>
      <c r="J228" s="26">
        <f t="shared" si="20"/>
        <v>0.3693230505569836</v>
      </c>
      <c r="K228" s="24">
        <f t="shared" si="23"/>
        <v>43.98842598823221</v>
      </c>
      <c r="L228" s="24">
        <f t="shared" si="22"/>
        <v>2.449489742783178</v>
      </c>
      <c r="M228" s="27">
        <v>6</v>
      </c>
      <c r="N228" s="28" t="s">
        <v>352</v>
      </c>
      <c r="O228" s="29"/>
      <c r="P228" s="23" t="s">
        <v>353</v>
      </c>
      <c r="U228" s="32" t="s">
        <v>51</v>
      </c>
      <c r="V228" s="23"/>
      <c r="W228" s="23"/>
      <c r="AA228" s="31"/>
    </row>
    <row r="229" spans="1:27" ht="12.75">
      <c r="A229" s="21" t="s">
        <v>349</v>
      </c>
      <c r="B229" s="22" t="s">
        <v>350</v>
      </c>
      <c r="C229" s="22" t="s">
        <v>48</v>
      </c>
      <c r="D229" s="21" t="s">
        <v>101</v>
      </c>
      <c r="E229" s="21" t="s">
        <v>101</v>
      </c>
      <c r="F229" s="78" t="s">
        <v>351</v>
      </c>
      <c r="G229" s="24">
        <v>3.06</v>
      </c>
      <c r="H229" s="25">
        <f t="shared" si="21"/>
        <v>0.48572142648158</v>
      </c>
      <c r="I229" s="24">
        <v>0.25266666666666665</v>
      </c>
      <c r="J229" s="26">
        <f t="shared" si="20"/>
        <v>0.2477124183006536</v>
      </c>
      <c r="K229" s="24">
        <f t="shared" si="23"/>
        <v>146.67191122311877</v>
      </c>
      <c r="L229" s="24">
        <f t="shared" si="22"/>
        <v>3</v>
      </c>
      <c r="M229" s="27">
        <v>9</v>
      </c>
      <c r="N229" s="28" t="s">
        <v>354</v>
      </c>
      <c r="O229" s="29"/>
      <c r="P229" s="23" t="s">
        <v>353</v>
      </c>
      <c r="U229" s="32" t="s">
        <v>51</v>
      </c>
      <c r="V229" s="23"/>
      <c r="W229" s="23"/>
      <c r="AA229" s="31"/>
    </row>
    <row r="230" spans="1:27" ht="12.75">
      <c r="A230" s="21" t="s">
        <v>349</v>
      </c>
      <c r="B230" s="22" t="s">
        <v>350</v>
      </c>
      <c r="C230" s="22" t="s">
        <v>48</v>
      </c>
      <c r="D230" s="21" t="s">
        <v>101</v>
      </c>
      <c r="E230" s="21" t="s">
        <v>101</v>
      </c>
      <c r="F230" s="78" t="s">
        <v>351</v>
      </c>
      <c r="G230" s="24">
        <v>2.95</v>
      </c>
      <c r="H230" s="25">
        <f t="shared" si="21"/>
        <v>0.46982201597816303</v>
      </c>
      <c r="I230" s="24">
        <v>0.35133333333333333</v>
      </c>
      <c r="J230" s="26">
        <f t="shared" si="20"/>
        <v>0.3572881355932203</v>
      </c>
      <c r="K230" s="24">
        <f t="shared" si="23"/>
        <v>70.50263026187399</v>
      </c>
      <c r="L230" s="24">
        <f t="shared" si="22"/>
        <v>3</v>
      </c>
      <c r="M230" s="27">
        <v>9</v>
      </c>
      <c r="N230" s="28" t="s">
        <v>355</v>
      </c>
      <c r="O230" s="29"/>
      <c r="P230" s="23" t="s">
        <v>353</v>
      </c>
      <c r="U230" s="32" t="s">
        <v>51</v>
      </c>
      <c r="V230" s="23"/>
      <c r="W230" s="23"/>
      <c r="AA230" s="31"/>
    </row>
    <row r="231" spans="1:27" ht="12.75">
      <c r="A231" s="21" t="s">
        <v>349</v>
      </c>
      <c r="B231" s="22" t="s">
        <v>350</v>
      </c>
      <c r="C231" s="22" t="s">
        <v>48</v>
      </c>
      <c r="D231" s="21" t="s">
        <v>101</v>
      </c>
      <c r="E231" s="21" t="s">
        <v>101</v>
      </c>
      <c r="F231" s="78" t="s">
        <v>351</v>
      </c>
      <c r="G231" s="24">
        <v>4.3260000000000005</v>
      </c>
      <c r="H231" s="25">
        <f t="shared" si="21"/>
        <v>0.6360865151030727</v>
      </c>
      <c r="I231" s="24">
        <v>0.6399316369738255</v>
      </c>
      <c r="J231" s="26">
        <f t="shared" si="20"/>
        <v>0.4184003698566805</v>
      </c>
      <c r="K231" s="24">
        <f t="shared" si="23"/>
        <v>45.69891273160162</v>
      </c>
      <c r="L231" s="24">
        <f t="shared" si="22"/>
        <v>2.8284271247461903</v>
      </c>
      <c r="M231" s="27">
        <v>8</v>
      </c>
      <c r="N231" s="28" t="s">
        <v>356</v>
      </c>
      <c r="O231" s="29"/>
      <c r="P231" s="23" t="s">
        <v>353</v>
      </c>
      <c r="U231" s="32" t="s">
        <v>51</v>
      </c>
      <c r="V231" s="23"/>
      <c r="W231" s="23"/>
      <c r="AA231" s="31"/>
    </row>
    <row r="232" spans="1:27" ht="12.75">
      <c r="A232" s="21" t="s">
        <v>349</v>
      </c>
      <c r="B232" s="22" t="s">
        <v>350</v>
      </c>
      <c r="C232" s="22" t="s">
        <v>48</v>
      </c>
      <c r="D232" s="21" t="s">
        <v>101</v>
      </c>
      <c r="E232" s="21" t="s">
        <v>101</v>
      </c>
      <c r="F232" s="78" t="s">
        <v>351</v>
      </c>
      <c r="G232" s="24">
        <v>3.0439999999999996</v>
      </c>
      <c r="H232" s="25">
        <f t="shared" si="21"/>
        <v>0.48344464809853516</v>
      </c>
      <c r="I232" s="24">
        <v>0.30766308102951095</v>
      </c>
      <c r="J232" s="26">
        <f t="shared" si="20"/>
        <v>0.2674113009198424</v>
      </c>
      <c r="K232" s="24">
        <f t="shared" si="23"/>
        <v>97.8900446124033</v>
      </c>
      <c r="L232" s="24">
        <f t="shared" si="22"/>
        <v>2.6457513110645907</v>
      </c>
      <c r="M232" s="27">
        <v>7</v>
      </c>
      <c r="N232" s="28" t="s">
        <v>357</v>
      </c>
      <c r="O232" s="29"/>
      <c r="P232" s="23" t="s">
        <v>353</v>
      </c>
      <c r="U232" s="32" t="s">
        <v>51</v>
      </c>
      <c r="V232" s="23"/>
      <c r="W232" s="23"/>
      <c r="AA232" s="31"/>
    </row>
    <row r="233" spans="1:27" ht="12.75">
      <c r="A233" s="21" t="s">
        <v>349</v>
      </c>
      <c r="B233" s="22" t="s">
        <v>350</v>
      </c>
      <c r="C233" s="22" t="s">
        <v>48</v>
      </c>
      <c r="D233" s="21" t="s">
        <v>101</v>
      </c>
      <c r="E233" s="21" t="s">
        <v>101</v>
      </c>
      <c r="F233" s="78" t="s">
        <v>351</v>
      </c>
      <c r="G233" s="24">
        <v>3.52</v>
      </c>
      <c r="H233" s="25">
        <f t="shared" si="21"/>
        <v>0.5465426634781311</v>
      </c>
      <c r="I233" s="24">
        <v>0.35457734122345</v>
      </c>
      <c r="J233" s="26">
        <f t="shared" si="20"/>
        <v>0.33409090909090905</v>
      </c>
      <c r="K233" s="24">
        <f t="shared" si="23"/>
        <v>98.55152945531955</v>
      </c>
      <c r="L233" s="24">
        <f t="shared" si="22"/>
        <v>3.3166247903554</v>
      </c>
      <c r="M233" s="27">
        <v>11</v>
      </c>
      <c r="N233" s="28" t="s">
        <v>358</v>
      </c>
      <c r="O233" s="29"/>
      <c r="P233" s="23" t="s">
        <v>353</v>
      </c>
      <c r="U233" s="32" t="s">
        <v>51</v>
      </c>
      <c r="V233" s="23"/>
      <c r="W233" s="23"/>
      <c r="AA233" s="31"/>
    </row>
    <row r="234" spans="1:27" ht="12.75">
      <c r="A234" s="21" t="s">
        <v>349</v>
      </c>
      <c r="B234" s="22" t="s">
        <v>350</v>
      </c>
      <c r="C234" s="22" t="s">
        <v>48</v>
      </c>
      <c r="D234" s="21" t="s">
        <v>35</v>
      </c>
      <c r="E234" s="21" t="s">
        <v>35</v>
      </c>
      <c r="F234" s="23" t="s">
        <v>36</v>
      </c>
      <c r="G234" s="24">
        <v>0.7866666666666667</v>
      </c>
      <c r="H234" s="25">
        <f t="shared" si="21"/>
        <v>-0.10420925174955582</v>
      </c>
      <c r="I234" s="24">
        <v>0.050350622490543104</v>
      </c>
      <c r="J234" s="26">
        <f t="shared" si="20"/>
        <v>0.15677966101694912</v>
      </c>
      <c r="K234" s="24">
        <f t="shared" si="23"/>
        <v>244.1022644265888</v>
      </c>
      <c r="L234" s="24">
        <f t="shared" si="22"/>
        <v>2.449489742783178</v>
      </c>
      <c r="M234" s="27">
        <v>6</v>
      </c>
      <c r="N234" s="28" t="s">
        <v>352</v>
      </c>
      <c r="O234" s="29"/>
      <c r="P234" s="23" t="s">
        <v>353</v>
      </c>
      <c r="U234" s="32" t="s">
        <v>51</v>
      </c>
      <c r="V234" s="23"/>
      <c r="W234" s="23"/>
      <c r="AA234" s="31"/>
    </row>
    <row r="235" spans="1:27" s="32" customFormat="1" ht="12.75">
      <c r="A235" s="21" t="s">
        <v>349</v>
      </c>
      <c r="B235" s="22" t="s">
        <v>350</v>
      </c>
      <c r="C235" s="22" t="s">
        <v>48</v>
      </c>
      <c r="D235" s="21" t="s">
        <v>35</v>
      </c>
      <c r="E235" s="21" t="s">
        <v>35</v>
      </c>
      <c r="F235" s="23" t="s">
        <v>36</v>
      </c>
      <c r="G235" s="24">
        <v>0.5216666666666667</v>
      </c>
      <c r="H235" s="25">
        <f t="shared" si="21"/>
        <v>-0.2826069128371951</v>
      </c>
      <c r="I235" s="24">
        <v>0.037222222222222226</v>
      </c>
      <c r="J235" s="26">
        <f t="shared" si="20"/>
        <v>0.21405750798722045</v>
      </c>
      <c r="K235" s="24">
        <f t="shared" si="23"/>
        <v>196.4181332145244</v>
      </c>
      <c r="L235" s="24">
        <f t="shared" si="22"/>
        <v>3</v>
      </c>
      <c r="M235" s="27">
        <v>9</v>
      </c>
      <c r="N235" s="28" t="s">
        <v>354</v>
      </c>
      <c r="O235" s="29"/>
      <c r="P235" s="23" t="s">
        <v>353</v>
      </c>
      <c r="Q235" s="30"/>
      <c r="R235" s="31"/>
      <c r="S235" s="31"/>
      <c r="T235" s="31"/>
      <c r="U235" s="32" t="s">
        <v>51</v>
      </c>
      <c r="V235" s="23"/>
      <c r="W235" s="23"/>
      <c r="X235" s="31"/>
      <c r="Y235" s="31"/>
      <c r="Z235" s="31"/>
      <c r="AA235" s="31"/>
    </row>
    <row r="236" spans="1:27" ht="12.75">
      <c r="A236" s="21" t="s">
        <v>349</v>
      </c>
      <c r="B236" s="22" t="s">
        <v>350</v>
      </c>
      <c r="C236" s="22" t="s">
        <v>48</v>
      </c>
      <c r="D236" s="21" t="s">
        <v>35</v>
      </c>
      <c r="E236" s="21" t="s">
        <v>35</v>
      </c>
      <c r="F236" s="23" t="s">
        <v>36</v>
      </c>
      <c r="G236" s="24">
        <v>0.5</v>
      </c>
      <c r="H236" s="25">
        <f t="shared" si="21"/>
        <v>-0.3010299956639812</v>
      </c>
      <c r="I236" s="24">
        <v>0.03944444444444444</v>
      </c>
      <c r="J236" s="26">
        <f t="shared" si="20"/>
        <v>0.23666666666666664</v>
      </c>
      <c r="K236" s="24">
        <f t="shared" si="23"/>
        <v>160.68240428486413</v>
      </c>
      <c r="L236" s="24">
        <f t="shared" si="22"/>
        <v>3</v>
      </c>
      <c r="M236" s="27">
        <v>9</v>
      </c>
      <c r="N236" s="28" t="s">
        <v>355</v>
      </c>
      <c r="O236" s="29"/>
      <c r="P236" s="23" t="s">
        <v>353</v>
      </c>
      <c r="U236" s="32" t="s">
        <v>51</v>
      </c>
      <c r="V236" s="23"/>
      <c r="W236" s="23"/>
      <c r="AA236" s="31"/>
    </row>
    <row r="237" spans="1:27" s="32" customFormat="1" ht="12.75">
      <c r="A237" s="21" t="s">
        <v>349</v>
      </c>
      <c r="B237" s="22" t="s">
        <v>350</v>
      </c>
      <c r="C237" s="22" t="s">
        <v>48</v>
      </c>
      <c r="D237" s="21" t="s">
        <v>35</v>
      </c>
      <c r="E237" s="21" t="s">
        <v>35</v>
      </c>
      <c r="F237" s="23" t="s">
        <v>36</v>
      </c>
      <c r="G237" s="24">
        <v>0.48833333333333334</v>
      </c>
      <c r="H237" s="25">
        <f t="shared" si="21"/>
        <v>-0.3112836300295342</v>
      </c>
      <c r="I237" s="24">
        <v>0.045961940777125586</v>
      </c>
      <c r="J237" s="26">
        <f t="shared" si="20"/>
        <v>0.26621160409556316</v>
      </c>
      <c r="K237" s="24">
        <f t="shared" si="23"/>
        <v>112.88494411571337</v>
      </c>
      <c r="L237" s="24">
        <f t="shared" si="22"/>
        <v>2.8284271247461903</v>
      </c>
      <c r="M237" s="27">
        <v>8</v>
      </c>
      <c r="N237" s="28" t="s">
        <v>356</v>
      </c>
      <c r="O237" s="29"/>
      <c r="P237" s="23" t="s">
        <v>353</v>
      </c>
      <c r="Q237" s="30"/>
      <c r="R237" s="31"/>
      <c r="S237" s="31"/>
      <c r="T237" s="31"/>
      <c r="U237" s="32" t="s">
        <v>51</v>
      </c>
      <c r="V237" s="23"/>
      <c r="W237" s="23"/>
      <c r="X237" s="31"/>
      <c r="Y237" s="31"/>
      <c r="Z237" s="31"/>
      <c r="AA237" s="31"/>
    </row>
    <row r="238" spans="1:27" s="32" customFormat="1" ht="12.75">
      <c r="A238" s="21" t="s">
        <v>349</v>
      </c>
      <c r="B238" s="22" t="s">
        <v>350</v>
      </c>
      <c r="C238" s="22" t="s">
        <v>48</v>
      </c>
      <c r="D238" s="21" t="s">
        <v>35</v>
      </c>
      <c r="E238" s="21" t="s">
        <v>35</v>
      </c>
      <c r="F238" s="23" t="s">
        <v>36</v>
      </c>
      <c r="G238" s="24">
        <v>0.38666666666666666</v>
      </c>
      <c r="H238" s="25">
        <f t="shared" si="21"/>
        <v>-0.41266326549274396</v>
      </c>
      <c r="I238" s="24">
        <v>0.029607217052389466</v>
      </c>
      <c r="J238" s="26">
        <f t="shared" si="20"/>
        <v>0.20258620689655174</v>
      </c>
      <c r="K238" s="24">
        <f t="shared" si="23"/>
        <v>170.56043458578543</v>
      </c>
      <c r="L238" s="24">
        <f t="shared" si="22"/>
        <v>2.6457513110645907</v>
      </c>
      <c r="M238" s="27">
        <v>7</v>
      </c>
      <c r="N238" s="28" t="s">
        <v>357</v>
      </c>
      <c r="O238" s="29"/>
      <c r="P238" s="23" t="s">
        <v>353</v>
      </c>
      <c r="Q238" s="30"/>
      <c r="R238" s="31"/>
      <c r="S238" s="31"/>
      <c r="T238" s="31"/>
      <c r="U238" s="32" t="s">
        <v>51</v>
      </c>
      <c r="V238" s="23"/>
      <c r="W238" s="23"/>
      <c r="X238" s="31"/>
      <c r="Y238" s="31"/>
      <c r="Z238" s="31"/>
      <c r="AA238" s="31"/>
    </row>
    <row r="239" spans="1:27" s="32" customFormat="1" ht="12.75">
      <c r="A239" s="21" t="s">
        <v>349</v>
      </c>
      <c r="B239" s="22" t="s">
        <v>350</v>
      </c>
      <c r="C239" s="22" t="s">
        <v>48</v>
      </c>
      <c r="D239" s="21" t="s">
        <v>35</v>
      </c>
      <c r="E239" s="21" t="s">
        <v>35</v>
      </c>
      <c r="F239" s="23" t="s">
        <v>36</v>
      </c>
      <c r="G239" s="24">
        <v>0.47833333333333333</v>
      </c>
      <c r="H239" s="25">
        <f t="shared" si="21"/>
        <v>-0.3202693536496513</v>
      </c>
      <c r="I239" s="24">
        <v>0.04020151261036849</v>
      </c>
      <c r="J239" s="26">
        <f t="shared" si="20"/>
        <v>0.2787456445993031</v>
      </c>
      <c r="K239" s="24">
        <f t="shared" si="23"/>
        <v>141.57171874999997</v>
      </c>
      <c r="L239" s="24">
        <f t="shared" si="22"/>
        <v>3.3166247903554</v>
      </c>
      <c r="M239" s="27">
        <v>11</v>
      </c>
      <c r="N239" s="28" t="s">
        <v>358</v>
      </c>
      <c r="O239" s="29"/>
      <c r="P239" s="23" t="s">
        <v>353</v>
      </c>
      <c r="Q239" s="30"/>
      <c r="R239" s="31"/>
      <c r="S239" s="31"/>
      <c r="T239" s="31"/>
      <c r="U239" s="32" t="s">
        <v>51</v>
      </c>
      <c r="V239" s="23"/>
      <c r="W239" s="23"/>
      <c r="X239" s="31"/>
      <c r="Y239" s="31"/>
      <c r="Z239" s="31"/>
      <c r="AA239" s="31"/>
    </row>
    <row r="240" spans="1:27" s="32" customFormat="1" ht="25.5">
      <c r="A240" s="22" t="s">
        <v>349</v>
      </c>
      <c r="B240" s="22" t="s">
        <v>350</v>
      </c>
      <c r="C240" s="22" t="s">
        <v>48</v>
      </c>
      <c r="D240" s="22" t="s">
        <v>35</v>
      </c>
      <c r="E240" s="21" t="s">
        <v>35</v>
      </c>
      <c r="F240" s="23" t="s">
        <v>36</v>
      </c>
      <c r="G240" s="47">
        <v>0.9294270833333333</v>
      </c>
      <c r="H240" s="25">
        <f t="shared" si="21"/>
        <v>-0.03178467641187037</v>
      </c>
      <c r="I240" s="47">
        <v>0.043406335065597434</v>
      </c>
      <c r="J240" s="26">
        <f t="shared" si="20"/>
        <v>0.2641878156703686</v>
      </c>
      <c r="K240" s="24">
        <f t="shared" si="23"/>
        <v>458.48423826510475</v>
      </c>
      <c r="L240" s="24">
        <f t="shared" si="22"/>
        <v>5.656854249492381</v>
      </c>
      <c r="M240" s="33">
        <v>32</v>
      </c>
      <c r="N240" s="36" t="s">
        <v>251</v>
      </c>
      <c r="O240" s="48"/>
      <c r="P240" s="79" t="s">
        <v>359</v>
      </c>
      <c r="Q240" s="30"/>
      <c r="R240" s="31"/>
      <c r="S240" s="31"/>
      <c r="T240" s="31"/>
      <c r="U240" s="32" t="s">
        <v>32</v>
      </c>
      <c r="V240" s="22" t="s">
        <v>349</v>
      </c>
      <c r="W240" s="22"/>
      <c r="X240" s="31"/>
      <c r="Y240" s="31"/>
      <c r="Z240" s="31"/>
      <c r="AA240" s="31"/>
    </row>
    <row r="241" spans="1:27" s="32" customFormat="1" ht="12.75">
      <c r="A241" s="22" t="s">
        <v>360</v>
      </c>
      <c r="B241" s="22" t="s">
        <v>361</v>
      </c>
      <c r="C241" s="22" t="s">
        <v>20</v>
      </c>
      <c r="D241" s="22" t="s">
        <v>21</v>
      </c>
      <c r="E241" s="21" t="s">
        <v>21</v>
      </c>
      <c r="F241" s="32" t="s">
        <v>22</v>
      </c>
      <c r="G241" s="35">
        <v>7.95</v>
      </c>
      <c r="H241" s="25">
        <f t="shared" si="21"/>
        <v>0.9003671286564703</v>
      </c>
      <c r="I241" s="35">
        <v>0.9166666666666666</v>
      </c>
      <c r="J241" s="26">
        <f t="shared" si="20"/>
        <v>0.25782754457544743</v>
      </c>
      <c r="K241" s="24">
        <f t="shared" si="23"/>
        <v>75.21619834710745</v>
      </c>
      <c r="L241" s="24">
        <f t="shared" si="22"/>
        <v>2.23606797749979</v>
      </c>
      <c r="M241" s="33">
        <v>5</v>
      </c>
      <c r="N241" s="34" t="s">
        <v>344</v>
      </c>
      <c r="O241" s="35">
        <v>7.8</v>
      </c>
      <c r="P241" s="32" t="s">
        <v>362</v>
      </c>
      <c r="Q241" s="30"/>
      <c r="R241" s="31"/>
      <c r="S241" s="31"/>
      <c r="T241" s="31"/>
      <c r="U241" s="32" t="s">
        <v>26</v>
      </c>
      <c r="V241" s="32" t="s">
        <v>360</v>
      </c>
      <c r="X241" s="31"/>
      <c r="Y241" s="31"/>
      <c r="Z241" s="31"/>
      <c r="AA241" s="31"/>
    </row>
    <row r="242" spans="1:27" ht="12.75">
      <c r="A242" s="22" t="s">
        <v>360</v>
      </c>
      <c r="B242" s="22" t="s">
        <v>361</v>
      </c>
      <c r="C242" s="22" t="s">
        <v>20</v>
      </c>
      <c r="D242" s="22" t="s">
        <v>21</v>
      </c>
      <c r="E242" s="21" t="s">
        <v>21</v>
      </c>
      <c r="F242" s="32" t="s">
        <v>22</v>
      </c>
      <c r="G242" s="35">
        <v>5</v>
      </c>
      <c r="H242" s="25">
        <f t="shared" si="21"/>
        <v>0.6989700043360189</v>
      </c>
      <c r="I242" s="35">
        <v>0.5833333333333334</v>
      </c>
      <c r="J242" s="26">
        <f t="shared" si="20"/>
        <v>0.32998316455372223</v>
      </c>
      <c r="K242" s="24">
        <f t="shared" si="23"/>
        <v>73.46938775510203</v>
      </c>
      <c r="L242" s="24">
        <f t="shared" si="22"/>
        <v>2.8284271247461903</v>
      </c>
      <c r="M242" s="33">
        <v>8</v>
      </c>
      <c r="N242" s="36" t="s">
        <v>363</v>
      </c>
      <c r="O242" s="35">
        <v>15.8</v>
      </c>
      <c r="P242" s="32" t="s">
        <v>362</v>
      </c>
      <c r="U242" s="32" t="s">
        <v>26</v>
      </c>
      <c r="V242" s="32" t="s">
        <v>360</v>
      </c>
      <c r="W242" s="32"/>
      <c r="AA242" s="31"/>
    </row>
    <row r="243" spans="1:27" s="32" customFormat="1" ht="12.75">
      <c r="A243" s="22" t="s">
        <v>360</v>
      </c>
      <c r="B243" s="22" t="s">
        <v>361</v>
      </c>
      <c r="C243" s="22" t="s">
        <v>20</v>
      </c>
      <c r="D243" s="22" t="s">
        <v>35</v>
      </c>
      <c r="E243" s="21" t="s">
        <v>35</v>
      </c>
      <c r="F243" s="32" t="s">
        <v>36</v>
      </c>
      <c r="G243" s="33">
        <v>3.57</v>
      </c>
      <c r="H243" s="25">
        <f t="shared" si="21"/>
        <v>0.5526682161121932</v>
      </c>
      <c r="I243" s="47">
        <v>0.8</v>
      </c>
      <c r="J243" s="26">
        <f t="shared" si="20"/>
        <v>0.5010796588234824</v>
      </c>
      <c r="K243" s="24">
        <f t="shared" si="23"/>
        <v>19.913906249999997</v>
      </c>
      <c r="L243" s="24">
        <f t="shared" si="22"/>
        <v>2.23606797749979</v>
      </c>
      <c r="M243" s="33">
        <v>5</v>
      </c>
      <c r="N243" s="34" t="s">
        <v>344</v>
      </c>
      <c r="O243" s="35">
        <v>7.8</v>
      </c>
      <c r="P243" s="32" t="s">
        <v>362</v>
      </c>
      <c r="Q243" s="30"/>
      <c r="R243" s="31"/>
      <c r="S243" s="31"/>
      <c r="T243" s="31"/>
      <c r="U243" s="32" t="s">
        <v>26</v>
      </c>
      <c r="V243" s="32" t="s">
        <v>360</v>
      </c>
      <c r="X243" s="31"/>
      <c r="Y243" s="31"/>
      <c r="Z243" s="31"/>
      <c r="AA243" s="31"/>
    </row>
    <row r="244" spans="1:27" s="32" customFormat="1" ht="12.75">
      <c r="A244" s="22" t="s">
        <v>360</v>
      </c>
      <c r="B244" s="22" t="s">
        <v>361</v>
      </c>
      <c r="C244" s="22" t="s">
        <v>20</v>
      </c>
      <c r="D244" s="22" t="s">
        <v>35</v>
      </c>
      <c r="E244" s="21" t="s">
        <v>35</v>
      </c>
      <c r="F244" s="32" t="s">
        <v>36</v>
      </c>
      <c r="G244" s="33">
        <v>4.23</v>
      </c>
      <c r="H244" s="25">
        <f t="shared" si="21"/>
        <v>0.6263403673750424</v>
      </c>
      <c r="I244" s="33">
        <v>0.34</v>
      </c>
      <c r="J244" s="26">
        <f t="shared" si="20"/>
        <v>0.2273440242112777</v>
      </c>
      <c r="K244" s="24">
        <f t="shared" si="23"/>
        <v>154.78287197231833</v>
      </c>
      <c r="L244" s="24">
        <f t="shared" si="22"/>
        <v>2.8284271247461903</v>
      </c>
      <c r="M244" s="33">
        <v>8</v>
      </c>
      <c r="N244" s="36" t="s">
        <v>363</v>
      </c>
      <c r="O244" s="35">
        <v>15.8</v>
      </c>
      <c r="P244" s="32" t="s">
        <v>362</v>
      </c>
      <c r="Q244" s="30"/>
      <c r="R244" s="31"/>
      <c r="S244" s="31"/>
      <c r="T244" s="31"/>
      <c r="U244" s="32" t="s">
        <v>26</v>
      </c>
      <c r="V244" s="32" t="s">
        <v>360</v>
      </c>
      <c r="X244" s="31"/>
      <c r="Y244" s="31"/>
      <c r="Z244" s="31"/>
      <c r="AA244" s="31"/>
    </row>
    <row r="245" spans="1:27" s="32" customFormat="1" ht="12.75">
      <c r="A245" s="21" t="s">
        <v>364</v>
      </c>
      <c r="B245" s="22" t="s">
        <v>365</v>
      </c>
      <c r="C245" s="22" t="s">
        <v>20</v>
      </c>
      <c r="D245" s="21" t="s">
        <v>21</v>
      </c>
      <c r="E245" s="21" t="s">
        <v>21</v>
      </c>
      <c r="F245" s="32" t="s">
        <v>22</v>
      </c>
      <c r="G245" s="38">
        <v>58.666666666666664</v>
      </c>
      <c r="H245" s="25">
        <f t="shared" si="21"/>
        <v>1.7683914130944873</v>
      </c>
      <c r="I245" s="38">
        <v>8.854377448471462</v>
      </c>
      <c r="J245" s="26">
        <f t="shared" si="20"/>
        <v>0.4527806649786544</v>
      </c>
      <c r="K245" s="24">
        <f t="shared" si="23"/>
        <v>43.90022675736961</v>
      </c>
      <c r="L245" s="24">
        <f t="shared" si="22"/>
        <v>3</v>
      </c>
      <c r="M245" s="38">
        <v>9</v>
      </c>
      <c r="N245" s="28" t="s">
        <v>107</v>
      </c>
      <c r="O245" s="29"/>
      <c r="P245" s="23" t="s">
        <v>366</v>
      </c>
      <c r="Q245" s="30"/>
      <c r="R245" s="31"/>
      <c r="S245" s="31"/>
      <c r="T245" s="31"/>
      <c r="U245" s="32" t="s">
        <v>51</v>
      </c>
      <c r="V245" s="23"/>
      <c r="W245" s="23"/>
      <c r="X245" s="31"/>
      <c r="Y245" s="31"/>
      <c r="Z245" s="31"/>
      <c r="AA245" s="31"/>
    </row>
    <row r="246" spans="1:27" s="32" customFormat="1" ht="12.75">
      <c r="A246" s="21" t="s">
        <v>364</v>
      </c>
      <c r="B246" s="22" t="s">
        <v>365</v>
      </c>
      <c r="C246" s="22" t="s">
        <v>20</v>
      </c>
      <c r="D246" s="21" t="s">
        <v>21</v>
      </c>
      <c r="E246" s="21" t="s">
        <v>21</v>
      </c>
      <c r="F246" s="32" t="s">
        <v>22</v>
      </c>
      <c r="G246" s="38">
        <v>41.166666666666664</v>
      </c>
      <c r="H246" s="25">
        <f t="shared" si="21"/>
        <v>1.6145457028760222</v>
      </c>
      <c r="I246" s="38">
        <v>5.4812812776251905</v>
      </c>
      <c r="J246" s="26">
        <f t="shared" si="20"/>
        <v>0.3994455991791637</v>
      </c>
      <c r="K246" s="24">
        <f t="shared" si="23"/>
        <v>56.40625</v>
      </c>
      <c r="L246" s="24">
        <f t="shared" si="22"/>
        <v>3</v>
      </c>
      <c r="M246" s="38">
        <v>9</v>
      </c>
      <c r="N246" s="28" t="s">
        <v>46</v>
      </c>
      <c r="O246" s="29"/>
      <c r="P246" s="23" t="s">
        <v>366</v>
      </c>
      <c r="Q246" s="30"/>
      <c r="R246" s="31"/>
      <c r="S246" s="31"/>
      <c r="T246" s="31"/>
      <c r="U246" s="32" t="s">
        <v>51</v>
      </c>
      <c r="V246" s="23"/>
      <c r="W246" s="23"/>
      <c r="X246" s="31"/>
      <c r="Y246" s="31"/>
      <c r="Z246" s="31"/>
      <c r="AA246" s="31"/>
    </row>
    <row r="247" spans="1:27" s="32" customFormat="1" ht="12.75">
      <c r="A247" s="21" t="s">
        <v>364</v>
      </c>
      <c r="B247" s="22" t="s">
        <v>365</v>
      </c>
      <c r="C247" s="22" t="s">
        <v>20</v>
      </c>
      <c r="D247" s="21" t="s">
        <v>39</v>
      </c>
      <c r="E247" s="21" t="s">
        <v>39</v>
      </c>
      <c r="F247" s="23" t="s">
        <v>40</v>
      </c>
      <c r="G247" s="24">
        <v>0.213</v>
      </c>
      <c r="H247" s="25">
        <f t="shared" si="21"/>
        <v>-0.6716203965612623</v>
      </c>
      <c r="I247" s="24">
        <f>0.085/(10^0.5)</f>
        <v>0.026879360111431223</v>
      </c>
      <c r="J247" s="26">
        <f t="shared" si="20"/>
        <v>0.3785825367807215</v>
      </c>
      <c r="K247" s="24">
        <f t="shared" si="23"/>
        <v>62.79446366782007</v>
      </c>
      <c r="L247" s="24">
        <f t="shared" si="22"/>
        <v>3</v>
      </c>
      <c r="M247" s="38">
        <v>9</v>
      </c>
      <c r="N247" s="28" t="s">
        <v>107</v>
      </c>
      <c r="O247" s="29"/>
      <c r="P247" s="23" t="s">
        <v>366</v>
      </c>
      <c r="Q247" s="30"/>
      <c r="R247" s="31"/>
      <c r="S247" s="31"/>
      <c r="T247" s="31"/>
      <c r="U247" s="32" t="s">
        <v>51</v>
      </c>
      <c r="V247" s="23"/>
      <c r="W247" s="23"/>
      <c r="X247" s="31"/>
      <c r="Y247" s="31"/>
      <c r="Z247" s="31"/>
      <c r="AA247" s="31"/>
    </row>
    <row r="248" spans="1:27" s="32" customFormat="1" ht="12.75">
      <c r="A248" s="21" t="s">
        <v>364</v>
      </c>
      <c r="B248" s="22" t="s">
        <v>365</v>
      </c>
      <c r="C248" s="22" t="s">
        <v>20</v>
      </c>
      <c r="D248" s="21" t="s">
        <v>39</v>
      </c>
      <c r="E248" s="21" t="s">
        <v>39</v>
      </c>
      <c r="F248" s="23" t="s">
        <v>40</v>
      </c>
      <c r="G248" s="27">
        <v>0.39</v>
      </c>
      <c r="H248" s="25">
        <f t="shared" si="21"/>
        <v>-0.4089353929735008</v>
      </c>
      <c r="I248" s="24">
        <f>0.25/(10^0.5)</f>
        <v>0.07905694150420949</v>
      </c>
      <c r="J248" s="26">
        <f t="shared" si="20"/>
        <v>0.6081303192631499</v>
      </c>
      <c r="K248" s="24">
        <f t="shared" si="23"/>
        <v>24.336</v>
      </c>
      <c r="L248" s="24">
        <f t="shared" si="22"/>
        <v>3</v>
      </c>
      <c r="M248" s="38">
        <v>9</v>
      </c>
      <c r="N248" s="28" t="s">
        <v>46</v>
      </c>
      <c r="O248" s="29"/>
      <c r="P248" s="23" t="s">
        <v>366</v>
      </c>
      <c r="Q248" s="30"/>
      <c r="R248" s="31"/>
      <c r="S248" s="31"/>
      <c r="T248" s="31"/>
      <c r="U248" s="32" t="s">
        <v>51</v>
      </c>
      <c r="V248" s="23"/>
      <c r="W248" s="23"/>
      <c r="X248" s="31"/>
      <c r="Y248" s="31"/>
      <c r="Z248" s="31"/>
      <c r="AA248" s="31"/>
    </row>
    <row r="249" spans="1:27" s="32" customFormat="1" ht="12.75">
      <c r="A249" s="21" t="s">
        <v>367</v>
      </c>
      <c r="B249" s="22" t="s">
        <v>368</v>
      </c>
      <c r="C249" s="22" t="s">
        <v>20</v>
      </c>
      <c r="D249" s="21" t="s">
        <v>21</v>
      </c>
      <c r="E249" s="21" t="s">
        <v>21</v>
      </c>
      <c r="F249" s="23" t="s">
        <v>22</v>
      </c>
      <c r="G249" s="24">
        <v>1.0776999999999999</v>
      </c>
      <c r="H249" s="25">
        <f t="shared" si="21"/>
        <v>0.03249788285711028</v>
      </c>
      <c r="I249" s="24">
        <v>0.22473114455574114</v>
      </c>
      <c r="J249" s="26">
        <f t="shared" si="20"/>
        <v>0.5107883766105703</v>
      </c>
      <c r="K249" s="24">
        <f t="shared" si="23"/>
        <v>22.996896911221572</v>
      </c>
      <c r="L249" s="24">
        <f t="shared" si="22"/>
        <v>2.449489742783178</v>
      </c>
      <c r="M249" s="27">
        <v>6</v>
      </c>
      <c r="N249" s="36" t="s">
        <v>369</v>
      </c>
      <c r="O249" s="35">
        <v>3.4776666666666665</v>
      </c>
      <c r="P249" s="23" t="s">
        <v>370</v>
      </c>
      <c r="Q249" s="30"/>
      <c r="R249" s="31"/>
      <c r="S249" s="31"/>
      <c r="T249" s="31"/>
      <c r="U249" s="32" t="s">
        <v>26</v>
      </c>
      <c r="V249" s="23" t="s">
        <v>367</v>
      </c>
      <c r="W249" s="23"/>
      <c r="X249" s="31"/>
      <c r="Y249" s="31"/>
      <c r="Z249" s="31"/>
      <c r="AA249" s="31"/>
    </row>
    <row r="250" spans="1:27" s="32" customFormat="1" ht="12.75">
      <c r="A250" s="21" t="s">
        <v>367</v>
      </c>
      <c r="B250" s="22" t="s">
        <v>368</v>
      </c>
      <c r="C250" s="22" t="s">
        <v>20</v>
      </c>
      <c r="D250" s="21" t="s">
        <v>21</v>
      </c>
      <c r="E250" s="21" t="s">
        <v>21</v>
      </c>
      <c r="F250" s="23" t="s">
        <v>22</v>
      </c>
      <c r="G250" s="24">
        <v>0.6254</v>
      </c>
      <c r="H250" s="25">
        <f t="shared" si="21"/>
        <v>-0.2038421230930856</v>
      </c>
      <c r="I250" s="24">
        <v>0.1684301071661478</v>
      </c>
      <c r="J250" s="26">
        <f t="shared" si="20"/>
        <v>0.6022084571171746</v>
      </c>
      <c r="K250" s="24">
        <f t="shared" si="23"/>
        <v>13.78720724646502</v>
      </c>
      <c r="L250" s="24">
        <f t="shared" si="22"/>
        <v>2.23606797749979</v>
      </c>
      <c r="M250" s="27">
        <v>5</v>
      </c>
      <c r="N250" s="36" t="s">
        <v>371</v>
      </c>
      <c r="O250" s="35">
        <v>7.853200000000001</v>
      </c>
      <c r="P250" s="23" t="s">
        <v>370</v>
      </c>
      <c r="Q250" s="30"/>
      <c r="R250" s="31"/>
      <c r="S250" s="31"/>
      <c r="T250" s="31"/>
      <c r="U250" s="32" t="s">
        <v>26</v>
      </c>
      <c r="V250" s="23" t="s">
        <v>367</v>
      </c>
      <c r="W250" s="23"/>
      <c r="X250" s="31"/>
      <c r="Y250" s="31"/>
      <c r="Z250" s="31"/>
      <c r="AA250" s="31"/>
    </row>
    <row r="251" spans="1:27" s="32" customFormat="1" ht="12.75">
      <c r="A251" s="21" t="s">
        <v>367</v>
      </c>
      <c r="B251" s="22" t="s">
        <v>368</v>
      </c>
      <c r="C251" s="22" t="s">
        <v>20</v>
      </c>
      <c r="D251" s="21" t="s">
        <v>21</v>
      </c>
      <c r="E251" s="21" t="s">
        <v>21</v>
      </c>
      <c r="F251" s="23" t="s">
        <v>22</v>
      </c>
      <c r="G251" s="24">
        <v>0.3324214285714286</v>
      </c>
      <c r="H251" s="25">
        <f t="shared" si="21"/>
        <v>-0.47831098846684333</v>
      </c>
      <c r="I251" s="25">
        <v>0.07544833919812349</v>
      </c>
      <c r="J251" s="26">
        <f>(I251*(M251^0.5))/G251</f>
        <v>0.6004954109274235</v>
      </c>
      <c r="K251" s="24">
        <f>(G251/I251)^2</f>
        <v>19.41237420226107</v>
      </c>
      <c r="L251" s="24">
        <f t="shared" si="22"/>
        <v>2.6457513110645907</v>
      </c>
      <c r="M251" s="27">
        <v>7</v>
      </c>
      <c r="N251" s="36" t="s">
        <v>372</v>
      </c>
      <c r="O251" s="35">
        <v>17.661666666666665</v>
      </c>
      <c r="P251" s="23" t="s">
        <v>370</v>
      </c>
      <c r="Q251" s="30"/>
      <c r="R251" s="31"/>
      <c r="S251" s="31"/>
      <c r="T251" s="31"/>
      <c r="U251" s="32" t="s">
        <v>26</v>
      </c>
      <c r="V251" s="23" t="s">
        <v>367</v>
      </c>
      <c r="W251" s="23"/>
      <c r="X251" s="31"/>
      <c r="Y251" s="31"/>
      <c r="Z251" s="31"/>
      <c r="AA251" s="31"/>
    </row>
    <row r="252" spans="1:27" s="32" customFormat="1" ht="12.75">
      <c r="A252" s="21" t="s">
        <v>367</v>
      </c>
      <c r="B252" s="22" t="s">
        <v>368</v>
      </c>
      <c r="C252" s="22" t="s">
        <v>20</v>
      </c>
      <c r="D252" s="21" t="s">
        <v>21</v>
      </c>
      <c r="E252" s="21" t="s">
        <v>21</v>
      </c>
      <c r="F252" s="23" t="s">
        <v>22</v>
      </c>
      <c r="G252" s="24">
        <v>0.31272</v>
      </c>
      <c r="H252" s="25">
        <f t="shared" si="21"/>
        <v>-0.5048443425758092</v>
      </c>
      <c r="I252" s="25">
        <v>0.07204499566243308</v>
      </c>
      <c r="J252" s="26">
        <f>(I252*(M252^0.5))/G252</f>
        <v>0.5151493596184379</v>
      </c>
      <c r="K252" s="24">
        <f>(G252/I252)^2</f>
        <v>18.840988121063294</v>
      </c>
      <c r="L252" s="24">
        <f t="shared" si="22"/>
        <v>2.23606797749979</v>
      </c>
      <c r="M252" s="27">
        <v>5</v>
      </c>
      <c r="N252" s="36" t="s">
        <v>55</v>
      </c>
      <c r="O252" s="35"/>
      <c r="P252" s="23" t="s">
        <v>370</v>
      </c>
      <c r="Q252" s="30"/>
      <c r="R252" s="31"/>
      <c r="S252" s="31"/>
      <c r="T252" s="31"/>
      <c r="U252" s="32" t="s">
        <v>26</v>
      </c>
      <c r="V252" s="23" t="s">
        <v>367</v>
      </c>
      <c r="W252" s="23"/>
      <c r="X252" s="31"/>
      <c r="Y252" s="31"/>
      <c r="Z252" s="31"/>
      <c r="AA252" s="31"/>
    </row>
    <row r="253" spans="1:27" ht="12.75">
      <c r="A253" s="22" t="s">
        <v>373</v>
      </c>
      <c r="B253" s="22" t="s">
        <v>374</v>
      </c>
      <c r="C253" s="22" t="s">
        <v>71</v>
      </c>
      <c r="D253" s="22" t="s">
        <v>89</v>
      </c>
      <c r="E253" s="21" t="s">
        <v>21</v>
      </c>
      <c r="F253" s="32" t="s">
        <v>375</v>
      </c>
      <c r="G253" s="47">
        <v>0.4</v>
      </c>
      <c r="H253" s="25">
        <f t="shared" si="21"/>
        <v>-0.3979400086720376</v>
      </c>
      <c r="I253" s="47">
        <v>0.08</v>
      </c>
      <c r="J253" s="26">
        <f t="shared" si="20"/>
        <v>1.1489125293076057</v>
      </c>
      <c r="K253" s="24">
        <f t="shared" si="23"/>
        <v>25</v>
      </c>
      <c r="L253" s="24">
        <f t="shared" si="22"/>
        <v>5.744562646538029</v>
      </c>
      <c r="M253" s="33">
        <v>33</v>
      </c>
      <c r="N253" s="36" t="s">
        <v>231</v>
      </c>
      <c r="O253" s="35" t="s">
        <v>376</v>
      </c>
      <c r="P253" s="32" t="s">
        <v>377</v>
      </c>
      <c r="U253" s="32" t="s">
        <v>51</v>
      </c>
      <c r="V253" s="32"/>
      <c r="W253" s="32"/>
      <c r="AA253" s="31"/>
    </row>
    <row r="254" spans="1:27" ht="12.75">
      <c r="A254" s="22" t="s">
        <v>373</v>
      </c>
      <c r="B254" s="22" t="s">
        <v>374</v>
      </c>
      <c r="C254" s="22" t="s">
        <v>71</v>
      </c>
      <c r="D254" s="22" t="s">
        <v>89</v>
      </c>
      <c r="E254" s="21" t="s">
        <v>21</v>
      </c>
      <c r="F254" s="32" t="s">
        <v>375</v>
      </c>
      <c r="G254" s="33">
        <v>0.38</v>
      </c>
      <c r="H254" s="25">
        <f t="shared" si="21"/>
        <v>-0.42021640338318983</v>
      </c>
      <c r="I254" s="47">
        <v>0.07</v>
      </c>
      <c r="J254" s="26">
        <f t="shared" si="20"/>
        <v>0.7595194573506218</v>
      </c>
      <c r="K254" s="24">
        <f t="shared" si="23"/>
        <v>29.469387755102034</v>
      </c>
      <c r="L254" s="24">
        <f t="shared" si="22"/>
        <v>4.123105625617661</v>
      </c>
      <c r="M254" s="33">
        <v>17</v>
      </c>
      <c r="N254" s="36" t="s">
        <v>378</v>
      </c>
      <c r="O254" s="35"/>
      <c r="P254" s="32" t="s">
        <v>379</v>
      </c>
      <c r="U254" s="32" t="s">
        <v>51</v>
      </c>
      <c r="V254" s="32"/>
      <c r="W254" s="32"/>
      <c r="AA254" s="31"/>
    </row>
    <row r="255" spans="1:27" ht="12.75">
      <c r="A255" s="22" t="s">
        <v>373</v>
      </c>
      <c r="B255" s="22" t="s">
        <v>374</v>
      </c>
      <c r="C255" s="22" t="s">
        <v>71</v>
      </c>
      <c r="D255" s="22" t="s">
        <v>89</v>
      </c>
      <c r="E255" s="21" t="s">
        <v>21</v>
      </c>
      <c r="F255" s="32" t="s">
        <v>375</v>
      </c>
      <c r="G255" s="33">
        <v>0.31</v>
      </c>
      <c r="H255" s="25">
        <f t="shared" si="21"/>
        <v>-0.5086383061657274</v>
      </c>
      <c r="I255" s="47">
        <v>0.08</v>
      </c>
      <c r="J255" s="26">
        <f t="shared" si="20"/>
        <v>0.9655890030384365</v>
      </c>
      <c r="K255" s="24">
        <f t="shared" si="23"/>
        <v>15.015625</v>
      </c>
      <c r="L255" s="24">
        <f t="shared" si="22"/>
        <v>3.7416573867739413</v>
      </c>
      <c r="M255" s="33">
        <v>14</v>
      </c>
      <c r="N255" s="36" t="s">
        <v>380</v>
      </c>
      <c r="O255" s="35"/>
      <c r="P255" s="32" t="s">
        <v>381</v>
      </c>
      <c r="U255" s="32" t="s">
        <v>51</v>
      </c>
      <c r="V255" s="32"/>
      <c r="W255" s="32"/>
      <c r="AA255" s="31"/>
    </row>
    <row r="256" spans="1:27" ht="25.5">
      <c r="A256" s="22" t="s">
        <v>373</v>
      </c>
      <c r="B256" s="22" t="s">
        <v>374</v>
      </c>
      <c r="C256" s="22" t="s">
        <v>71</v>
      </c>
      <c r="D256" s="22" t="s">
        <v>89</v>
      </c>
      <c r="E256" s="21" t="s">
        <v>21</v>
      </c>
      <c r="F256" s="32" t="s">
        <v>375</v>
      </c>
      <c r="G256" s="33">
        <v>0.65</v>
      </c>
      <c r="H256" s="25">
        <f t="shared" si="21"/>
        <v>-0.18708664335714442</v>
      </c>
      <c r="I256" s="47">
        <v>0.09</v>
      </c>
      <c r="J256" s="26">
        <f t="shared" si="20"/>
        <v>0.3916283711187032</v>
      </c>
      <c r="K256" s="24">
        <f t="shared" si="23"/>
        <v>52.160493827160494</v>
      </c>
      <c r="L256" s="24">
        <f t="shared" si="22"/>
        <v>2.8284271247461903</v>
      </c>
      <c r="M256" s="33">
        <v>8</v>
      </c>
      <c r="N256" s="36" t="s">
        <v>382</v>
      </c>
      <c r="O256" s="35" t="s">
        <v>383</v>
      </c>
      <c r="P256" s="32" t="s">
        <v>384</v>
      </c>
      <c r="U256" s="32" t="s">
        <v>26</v>
      </c>
      <c r="V256" s="32" t="s">
        <v>385</v>
      </c>
      <c r="W256" s="32"/>
      <c r="AA256" s="31"/>
    </row>
    <row r="257" spans="1:27" ht="25.5">
      <c r="A257" s="22" t="s">
        <v>373</v>
      </c>
      <c r="B257" s="22" t="s">
        <v>374</v>
      </c>
      <c r="C257" s="22" t="s">
        <v>71</v>
      </c>
      <c r="D257" s="22" t="s">
        <v>89</v>
      </c>
      <c r="E257" s="21" t="s">
        <v>21</v>
      </c>
      <c r="F257" s="32" t="s">
        <v>375</v>
      </c>
      <c r="G257" s="33">
        <v>0.29</v>
      </c>
      <c r="H257" s="25">
        <f t="shared" si="21"/>
        <v>-0.5376020021010439</v>
      </c>
      <c r="I257" s="47">
        <f>0.1/(M257^0.5)</f>
        <v>0.040824829046386304</v>
      </c>
      <c r="J257" s="26">
        <f t="shared" si="20"/>
        <v>0.3448275862068965</v>
      </c>
      <c r="K257" s="24">
        <f t="shared" si="23"/>
        <v>50.45999999999998</v>
      </c>
      <c r="L257" s="24">
        <f t="shared" si="22"/>
        <v>2.449489742783178</v>
      </c>
      <c r="M257" s="33">
        <v>6</v>
      </c>
      <c r="N257" s="36" t="s">
        <v>382</v>
      </c>
      <c r="O257" s="35" t="s">
        <v>386</v>
      </c>
      <c r="P257" s="32" t="s">
        <v>387</v>
      </c>
      <c r="U257" s="32" t="s">
        <v>51</v>
      </c>
      <c r="V257" s="32"/>
      <c r="W257" s="32"/>
      <c r="AA257" s="31"/>
    </row>
    <row r="258" spans="1:27" s="32" customFormat="1" ht="12.75">
      <c r="A258" s="21" t="s">
        <v>373</v>
      </c>
      <c r="B258" s="22" t="s">
        <v>374</v>
      </c>
      <c r="C258" s="22" t="s">
        <v>71</v>
      </c>
      <c r="D258" s="21" t="s">
        <v>21</v>
      </c>
      <c r="E258" s="21" t="s">
        <v>21</v>
      </c>
      <c r="F258" s="23" t="s">
        <v>22</v>
      </c>
      <c r="G258" s="24">
        <v>0.5764240086250645</v>
      </c>
      <c r="H258" s="25">
        <f t="shared" si="21"/>
        <v>-0.23925793869039202</v>
      </c>
      <c r="I258" s="24">
        <v>0.06174467782563131</v>
      </c>
      <c r="J258" s="26">
        <f t="shared" si="20"/>
        <v>0.3710633751916717</v>
      </c>
      <c r="K258" s="24">
        <f t="shared" si="23"/>
        <v>87.15354659873536</v>
      </c>
      <c r="L258" s="24">
        <f>M258^0.5</f>
        <v>3.4641016151377544</v>
      </c>
      <c r="M258" s="27">
        <v>12</v>
      </c>
      <c r="N258" s="28" t="s">
        <v>388</v>
      </c>
      <c r="O258" s="29">
        <v>0.26715277777777774</v>
      </c>
      <c r="P258" s="23" t="s">
        <v>389</v>
      </c>
      <c r="Q258" s="30"/>
      <c r="R258" s="31"/>
      <c r="S258" s="31"/>
      <c r="T258" s="31"/>
      <c r="U258" s="32" t="s">
        <v>26</v>
      </c>
      <c r="V258" s="23" t="s">
        <v>390</v>
      </c>
      <c r="W258" s="23"/>
      <c r="X258" s="31"/>
      <c r="Y258" s="31"/>
      <c r="Z258" s="31"/>
      <c r="AA258" s="31"/>
    </row>
    <row r="259" spans="1:27" ht="12.75">
      <c r="A259" s="22" t="s">
        <v>373</v>
      </c>
      <c r="B259" s="22" t="s">
        <v>374</v>
      </c>
      <c r="C259" s="22" t="s">
        <v>71</v>
      </c>
      <c r="D259" s="22" t="s">
        <v>89</v>
      </c>
      <c r="E259" s="21" t="s">
        <v>21</v>
      </c>
      <c r="F259" s="32" t="s">
        <v>375</v>
      </c>
      <c r="G259" s="33">
        <v>1.31</v>
      </c>
      <c r="H259" s="25">
        <f t="shared" si="21"/>
        <v>0.11727129565576427</v>
      </c>
      <c r="I259" s="47">
        <v>0.23</v>
      </c>
      <c r="J259" s="26">
        <f t="shared" si="20"/>
        <v>0.4300630846107869</v>
      </c>
      <c r="K259" s="24">
        <f t="shared" si="23"/>
        <v>32.440453686200385</v>
      </c>
      <c r="L259" s="24">
        <f>M259^0.5</f>
        <v>2.449489742783178</v>
      </c>
      <c r="M259" s="33">
        <v>6</v>
      </c>
      <c r="N259" s="36" t="s">
        <v>391</v>
      </c>
      <c r="O259" s="35" t="s">
        <v>392</v>
      </c>
      <c r="P259" s="32" t="s">
        <v>393</v>
      </c>
      <c r="U259" s="32" t="s">
        <v>26</v>
      </c>
      <c r="V259" s="32" t="s">
        <v>394</v>
      </c>
      <c r="W259" s="32"/>
      <c r="AA259" s="31"/>
    </row>
    <row r="260" spans="1:27" ht="12.75">
      <c r="A260" s="22" t="s">
        <v>373</v>
      </c>
      <c r="B260" s="22" t="s">
        <v>374</v>
      </c>
      <c r="C260" s="22" t="s">
        <v>71</v>
      </c>
      <c r="D260" s="22" t="s">
        <v>89</v>
      </c>
      <c r="E260" s="21" t="s">
        <v>21</v>
      </c>
      <c r="F260" s="32" t="s">
        <v>375</v>
      </c>
      <c r="G260" s="33">
        <v>1.06</v>
      </c>
      <c r="H260" s="25">
        <f t="shared" si="21"/>
        <v>0.02530586526477026</v>
      </c>
      <c r="I260" s="47">
        <v>0.1</v>
      </c>
      <c r="J260" s="26">
        <f t="shared" si="20"/>
        <v>0.28301886792452835</v>
      </c>
      <c r="K260" s="24">
        <f t="shared" si="23"/>
        <v>112.36</v>
      </c>
      <c r="L260" s="24">
        <f>M260^0.5</f>
        <v>3</v>
      </c>
      <c r="M260" s="33">
        <v>9</v>
      </c>
      <c r="N260" s="36" t="s">
        <v>395</v>
      </c>
      <c r="O260" s="35" t="s">
        <v>396</v>
      </c>
      <c r="P260" s="32" t="s">
        <v>397</v>
      </c>
      <c r="U260" s="32" t="s">
        <v>26</v>
      </c>
      <c r="V260" s="32" t="s">
        <v>398</v>
      </c>
      <c r="W260" s="32"/>
      <c r="AA260" s="31"/>
    </row>
    <row r="261" spans="1:27" ht="12.75">
      <c r="A261" s="22" t="s">
        <v>373</v>
      </c>
      <c r="B261" s="22" t="s">
        <v>374</v>
      </c>
      <c r="C261" s="22" t="s">
        <v>71</v>
      </c>
      <c r="D261" s="22" t="s">
        <v>89</v>
      </c>
      <c r="E261" s="21" t="s">
        <v>21</v>
      </c>
      <c r="F261" s="32" t="s">
        <v>375</v>
      </c>
      <c r="G261" s="33">
        <v>1.63</v>
      </c>
      <c r="H261" s="25">
        <f t="shared" si="21"/>
        <v>0.21218760440395779</v>
      </c>
      <c r="I261" s="47">
        <v>0.18</v>
      </c>
      <c r="J261" s="26">
        <f t="shared" si="20"/>
        <v>0.2921688564365806</v>
      </c>
      <c r="K261" s="24">
        <f t="shared" si="23"/>
        <v>82.00308641975309</v>
      </c>
      <c r="L261" s="24">
        <f>M261^0.5</f>
        <v>2.6457513110645907</v>
      </c>
      <c r="M261" s="33">
        <v>7</v>
      </c>
      <c r="N261" s="36" t="s">
        <v>391</v>
      </c>
      <c r="O261" s="35" t="s">
        <v>399</v>
      </c>
      <c r="P261" s="32" t="s">
        <v>393</v>
      </c>
      <c r="U261" s="32" t="s">
        <v>26</v>
      </c>
      <c r="V261" s="32" t="s">
        <v>394</v>
      </c>
      <c r="W261" s="32"/>
      <c r="AA261" s="31"/>
    </row>
    <row r="262" spans="1:27" ht="12.75">
      <c r="A262" s="22" t="s">
        <v>373</v>
      </c>
      <c r="B262" s="22" t="s">
        <v>374</v>
      </c>
      <c r="C262" s="22" t="s">
        <v>71</v>
      </c>
      <c r="D262" s="22" t="s">
        <v>92</v>
      </c>
      <c r="E262" s="21" t="s">
        <v>21</v>
      </c>
      <c r="F262" s="32" t="s">
        <v>375</v>
      </c>
      <c r="G262" s="33">
        <v>1.7</v>
      </c>
      <c r="H262" s="25">
        <f t="shared" si="21"/>
        <v>0.2304489213782739</v>
      </c>
      <c r="I262" s="47">
        <v>0.19</v>
      </c>
      <c r="J262" s="26">
        <f t="shared" si="20"/>
        <v>0.35343103260705416</v>
      </c>
      <c r="K262" s="24">
        <f t="shared" si="23"/>
        <v>80.05540166204986</v>
      </c>
      <c r="L262" s="24">
        <f aca="true" t="shared" si="24" ref="L262:L325">M262^0.5</f>
        <v>3.1622776601683795</v>
      </c>
      <c r="M262" s="33">
        <v>10</v>
      </c>
      <c r="N262" s="36" t="s">
        <v>400</v>
      </c>
      <c r="O262" s="35" t="s">
        <v>401</v>
      </c>
      <c r="P262" s="32" t="s">
        <v>402</v>
      </c>
      <c r="U262" s="32" t="s">
        <v>26</v>
      </c>
      <c r="V262" s="32" t="s">
        <v>403</v>
      </c>
      <c r="W262" s="32"/>
      <c r="AA262" s="31"/>
    </row>
    <row r="263" spans="1:27" ht="12.75">
      <c r="A263" s="22" t="s">
        <v>373</v>
      </c>
      <c r="B263" s="22" t="s">
        <v>374</v>
      </c>
      <c r="C263" s="22" t="s">
        <v>71</v>
      </c>
      <c r="D263" s="22" t="s">
        <v>89</v>
      </c>
      <c r="E263" s="21" t="s">
        <v>21</v>
      </c>
      <c r="F263" s="32" t="s">
        <v>375</v>
      </c>
      <c r="G263" s="33">
        <v>1.6</v>
      </c>
      <c r="H263" s="25">
        <f t="shared" si="21"/>
        <v>0.2041199826559248</v>
      </c>
      <c r="I263" s="47">
        <v>0.1</v>
      </c>
      <c r="J263" s="26">
        <f t="shared" si="20"/>
        <v>0.2576941016011038</v>
      </c>
      <c r="K263" s="24">
        <f t="shared" si="23"/>
        <v>256</v>
      </c>
      <c r="L263" s="24">
        <f t="shared" si="24"/>
        <v>4.123105625617661</v>
      </c>
      <c r="M263" s="33">
        <v>17</v>
      </c>
      <c r="N263" s="36" t="s">
        <v>404</v>
      </c>
      <c r="O263" s="35" t="s">
        <v>405</v>
      </c>
      <c r="P263" s="32" t="s">
        <v>406</v>
      </c>
      <c r="U263" s="32" t="s">
        <v>51</v>
      </c>
      <c r="V263" s="32"/>
      <c r="W263" s="32"/>
      <c r="AA263" s="31"/>
    </row>
    <row r="264" spans="1:27" ht="12.75">
      <c r="A264" s="22" t="s">
        <v>373</v>
      </c>
      <c r="B264" s="22" t="s">
        <v>374</v>
      </c>
      <c r="C264" s="22" t="s">
        <v>71</v>
      </c>
      <c r="D264" s="22" t="s">
        <v>89</v>
      </c>
      <c r="E264" s="21" t="s">
        <v>21</v>
      </c>
      <c r="F264" s="32" t="s">
        <v>375</v>
      </c>
      <c r="G264" s="33">
        <v>1.45</v>
      </c>
      <c r="H264" s="25">
        <f t="shared" si="21"/>
        <v>0.16136800223497488</v>
      </c>
      <c r="I264" s="47">
        <v>0.11</v>
      </c>
      <c r="J264" s="26">
        <f t="shared" si="20"/>
        <v>0.415513664314264</v>
      </c>
      <c r="K264" s="24">
        <f t="shared" si="23"/>
        <v>173.7603305785124</v>
      </c>
      <c r="L264" s="24">
        <f t="shared" si="24"/>
        <v>5.477225575051661</v>
      </c>
      <c r="M264" s="33">
        <v>30</v>
      </c>
      <c r="N264" s="36" t="s">
        <v>407</v>
      </c>
      <c r="O264" s="35" t="s">
        <v>408</v>
      </c>
      <c r="P264" s="32" t="s">
        <v>409</v>
      </c>
      <c r="U264" s="32" t="s">
        <v>26</v>
      </c>
      <c r="V264" s="32" t="s">
        <v>410</v>
      </c>
      <c r="W264" s="32"/>
      <c r="AA264" s="31"/>
    </row>
    <row r="265" spans="1:27" ht="12.75">
      <c r="A265" s="22" t="s">
        <v>373</v>
      </c>
      <c r="B265" s="22" t="s">
        <v>374</v>
      </c>
      <c r="C265" s="22" t="s">
        <v>71</v>
      </c>
      <c r="D265" s="22" t="s">
        <v>89</v>
      </c>
      <c r="E265" s="21" t="s">
        <v>21</v>
      </c>
      <c r="F265" s="32" t="s">
        <v>375</v>
      </c>
      <c r="G265" s="33">
        <v>0.9</v>
      </c>
      <c r="H265" s="25">
        <f t="shared" si="21"/>
        <v>-0.045757490560675115</v>
      </c>
      <c r="I265" s="47">
        <v>0.08</v>
      </c>
      <c r="J265" s="26">
        <f t="shared" si="20"/>
        <v>0.48686449556014766</v>
      </c>
      <c r="K265" s="24">
        <f t="shared" si="23"/>
        <v>126.5625</v>
      </c>
      <c r="L265" s="24">
        <f t="shared" si="24"/>
        <v>5.477225575051661</v>
      </c>
      <c r="M265" s="33">
        <v>30</v>
      </c>
      <c r="N265" s="36" t="s">
        <v>411</v>
      </c>
      <c r="O265" s="35" t="s">
        <v>412</v>
      </c>
      <c r="P265" s="32" t="s">
        <v>406</v>
      </c>
      <c r="U265" s="32" t="s">
        <v>51</v>
      </c>
      <c r="V265" s="32"/>
      <c r="W265" s="32"/>
      <c r="AA265" s="31"/>
    </row>
    <row r="266" spans="1:27" s="32" customFormat="1" ht="38.25">
      <c r="A266" s="21" t="s">
        <v>373</v>
      </c>
      <c r="B266" s="22" t="s">
        <v>374</v>
      </c>
      <c r="C266" s="22" t="s">
        <v>71</v>
      </c>
      <c r="D266" s="21" t="s">
        <v>21</v>
      </c>
      <c r="E266" s="21" t="s">
        <v>21</v>
      </c>
      <c r="F266" s="23" t="s">
        <v>22</v>
      </c>
      <c r="G266" s="47">
        <v>0.8558454545454547</v>
      </c>
      <c r="H266" s="25">
        <f t="shared" si="21"/>
        <v>-0.06760465155851383</v>
      </c>
      <c r="I266" s="47">
        <v>0.02600094601895387</v>
      </c>
      <c r="J266" s="26">
        <f t="shared" si="20"/>
        <v>0.3186325533499105</v>
      </c>
      <c r="K266" s="24">
        <f t="shared" si="23"/>
        <v>1083.4587907156529</v>
      </c>
      <c r="L266" s="24">
        <f t="shared" si="24"/>
        <v>10.488088481701515</v>
      </c>
      <c r="M266" s="33">
        <v>110</v>
      </c>
      <c r="N266" s="36" t="s">
        <v>251</v>
      </c>
      <c r="O266" s="35"/>
      <c r="P266" s="80" t="s">
        <v>413</v>
      </c>
      <c r="Q266" s="30"/>
      <c r="R266" s="31"/>
      <c r="S266" s="31"/>
      <c r="T266" s="31"/>
      <c r="U266" s="32" t="s">
        <v>32</v>
      </c>
      <c r="V266" s="23" t="s">
        <v>385</v>
      </c>
      <c r="X266" s="31"/>
      <c r="Y266" s="31"/>
      <c r="Z266" s="31"/>
      <c r="AA266" s="31"/>
    </row>
    <row r="267" spans="1:27" s="32" customFormat="1" ht="12.75">
      <c r="A267" s="21" t="s">
        <v>373</v>
      </c>
      <c r="B267" s="22" t="s">
        <v>374</v>
      </c>
      <c r="C267" s="22" t="s">
        <v>71</v>
      </c>
      <c r="D267" s="21" t="s">
        <v>34</v>
      </c>
      <c r="E267" s="21" t="s">
        <v>35</v>
      </c>
      <c r="F267" s="23" t="s">
        <v>36</v>
      </c>
      <c r="G267" s="29">
        <v>25.7</v>
      </c>
      <c r="H267" s="25">
        <f>LOG(G267)</f>
        <v>1.4099331233312946</v>
      </c>
      <c r="I267" s="29">
        <v>7</v>
      </c>
      <c r="J267" s="26">
        <f t="shared" si="20"/>
        <v>0.6671761945323831</v>
      </c>
      <c r="K267" s="24">
        <f t="shared" si="23"/>
        <v>13.47938775510204</v>
      </c>
      <c r="L267" s="24">
        <f t="shared" si="24"/>
        <v>2.449489742783178</v>
      </c>
      <c r="M267" s="27">
        <v>6</v>
      </c>
      <c r="N267" s="28" t="s">
        <v>231</v>
      </c>
      <c r="O267" s="29" t="s">
        <v>414</v>
      </c>
      <c r="P267" s="23" t="s">
        <v>415</v>
      </c>
      <c r="Q267" s="30"/>
      <c r="R267" s="31"/>
      <c r="S267" s="31"/>
      <c r="T267" s="31"/>
      <c r="U267" s="32" t="s">
        <v>51</v>
      </c>
      <c r="V267" s="23"/>
      <c r="W267" s="23"/>
      <c r="X267" s="31"/>
      <c r="Y267" s="31"/>
      <c r="Z267" s="31"/>
      <c r="AA267" s="31"/>
    </row>
    <row r="268" spans="1:27" s="32" customFormat="1" ht="12.75">
      <c r="A268" s="21" t="s">
        <v>373</v>
      </c>
      <c r="B268" s="22" t="s">
        <v>374</v>
      </c>
      <c r="C268" s="22" t="s">
        <v>71</v>
      </c>
      <c r="D268" s="21" t="s">
        <v>34</v>
      </c>
      <c r="E268" s="21" t="s">
        <v>35</v>
      </c>
      <c r="F268" s="23" t="s">
        <v>36</v>
      </c>
      <c r="G268" s="29">
        <v>32</v>
      </c>
      <c r="H268" s="25">
        <f>LOG(G268)</f>
        <v>1.505149978319906</v>
      </c>
      <c r="I268" s="29">
        <v>1.28</v>
      </c>
      <c r="J268" s="26">
        <f t="shared" si="20"/>
        <v>0.20784609690826528</v>
      </c>
      <c r="K268" s="24">
        <f t="shared" si="23"/>
        <v>625</v>
      </c>
      <c r="L268" s="24">
        <f t="shared" si="24"/>
        <v>5.196152422706632</v>
      </c>
      <c r="M268" s="27">
        <v>27</v>
      </c>
      <c r="N268" s="28" t="s">
        <v>231</v>
      </c>
      <c r="O268" s="29" t="s">
        <v>416</v>
      </c>
      <c r="P268" s="23" t="s">
        <v>417</v>
      </c>
      <c r="Q268" s="30"/>
      <c r="R268" s="31"/>
      <c r="S268" s="31"/>
      <c r="T268" s="31"/>
      <c r="U268" s="32" t="s">
        <v>51</v>
      </c>
      <c r="V268" s="23"/>
      <c r="W268" s="23"/>
      <c r="X268" s="31"/>
      <c r="Y268" s="31"/>
      <c r="Z268" s="31"/>
      <c r="AA268" s="31"/>
    </row>
    <row r="269" spans="1:27" s="32" customFormat="1" ht="12.75">
      <c r="A269" s="21" t="s">
        <v>373</v>
      </c>
      <c r="B269" s="22" t="s">
        <v>374</v>
      </c>
      <c r="C269" s="22" t="s">
        <v>71</v>
      </c>
      <c r="D269" s="21" t="s">
        <v>34</v>
      </c>
      <c r="E269" s="21" t="s">
        <v>35</v>
      </c>
      <c r="F269" s="23" t="s">
        <v>36</v>
      </c>
      <c r="G269" s="29">
        <v>19.9</v>
      </c>
      <c r="H269" s="25">
        <f t="shared" si="21"/>
        <v>1.2988530764097066</v>
      </c>
      <c r="I269" s="29">
        <v>3.5</v>
      </c>
      <c r="J269" s="26">
        <f t="shared" si="20"/>
        <v>0.7251693311387846</v>
      </c>
      <c r="K269" s="24">
        <f t="shared" si="23"/>
        <v>32.327346938775506</v>
      </c>
      <c r="L269" s="24">
        <f t="shared" si="24"/>
        <v>4.123105625617661</v>
      </c>
      <c r="M269" s="27">
        <v>17</v>
      </c>
      <c r="N269" s="28" t="s">
        <v>378</v>
      </c>
      <c r="O269" s="29"/>
      <c r="P269" s="23" t="s">
        <v>379</v>
      </c>
      <c r="Q269" s="30"/>
      <c r="R269" s="31"/>
      <c r="S269" s="31"/>
      <c r="T269" s="31"/>
      <c r="U269" s="32" t="s">
        <v>51</v>
      </c>
      <c r="V269" s="23"/>
      <c r="W269" s="23"/>
      <c r="X269" s="31"/>
      <c r="Y269" s="31"/>
      <c r="Z269" s="31"/>
      <c r="AA269" s="31"/>
    </row>
    <row r="270" spans="1:27" s="32" customFormat="1" ht="12.75">
      <c r="A270" s="21" t="s">
        <v>373</v>
      </c>
      <c r="B270" s="22" t="s">
        <v>374</v>
      </c>
      <c r="C270" s="22" t="s">
        <v>71</v>
      </c>
      <c r="D270" s="21" t="s">
        <v>34</v>
      </c>
      <c r="E270" s="21" t="s">
        <v>35</v>
      </c>
      <c r="F270" s="23" t="s">
        <v>36</v>
      </c>
      <c r="G270" s="29">
        <v>33.8</v>
      </c>
      <c r="H270" s="25">
        <f t="shared" si="21"/>
        <v>1.5289167002776547</v>
      </c>
      <c r="I270" s="29">
        <v>8.3</v>
      </c>
      <c r="J270" s="26">
        <f t="shared" si="20"/>
        <v>0.9188093582906425</v>
      </c>
      <c r="K270" s="24">
        <f t="shared" si="23"/>
        <v>16.583538975177813</v>
      </c>
      <c r="L270" s="24">
        <f t="shared" si="24"/>
        <v>3.7416573867739413</v>
      </c>
      <c r="M270" s="27">
        <v>14</v>
      </c>
      <c r="N270" s="28" t="s">
        <v>380</v>
      </c>
      <c r="O270" s="29"/>
      <c r="P270" s="23" t="s">
        <v>381</v>
      </c>
      <c r="Q270" s="30"/>
      <c r="R270" s="31"/>
      <c r="S270" s="31"/>
      <c r="T270" s="31"/>
      <c r="U270" s="32" t="s">
        <v>51</v>
      </c>
      <c r="V270" s="23"/>
      <c r="W270" s="23"/>
      <c r="X270" s="31"/>
      <c r="Y270" s="31"/>
      <c r="Z270" s="31"/>
      <c r="AA270" s="31"/>
    </row>
    <row r="271" spans="1:27" s="32" customFormat="1" ht="25.5">
      <c r="A271" s="21" t="s">
        <v>373</v>
      </c>
      <c r="B271" s="22" t="s">
        <v>374</v>
      </c>
      <c r="C271" s="22" t="s">
        <v>71</v>
      </c>
      <c r="D271" s="21" t="s">
        <v>34</v>
      </c>
      <c r="E271" s="21" t="s">
        <v>35</v>
      </c>
      <c r="F271" s="23" t="s">
        <v>36</v>
      </c>
      <c r="G271" s="29">
        <v>20</v>
      </c>
      <c r="H271" s="25">
        <f t="shared" si="21"/>
        <v>1.3010299956639813</v>
      </c>
      <c r="I271" s="29">
        <v>1.9</v>
      </c>
      <c r="J271" s="26">
        <f aca="true" t="shared" si="25" ref="J271:J334">(I271*(M271^0.5))/G271</f>
        <v>0.26870057685088805</v>
      </c>
      <c r="K271" s="24">
        <f>(G271/I271)^2</f>
        <v>110.80332409972301</v>
      </c>
      <c r="L271" s="24">
        <f t="shared" si="24"/>
        <v>2.8284271247461903</v>
      </c>
      <c r="M271" s="27">
        <v>8</v>
      </c>
      <c r="N271" s="28" t="s">
        <v>382</v>
      </c>
      <c r="O271" s="29" t="s">
        <v>383</v>
      </c>
      <c r="P271" s="23" t="s">
        <v>384</v>
      </c>
      <c r="Q271" s="30"/>
      <c r="R271" s="31"/>
      <c r="S271" s="31"/>
      <c r="T271" s="31"/>
      <c r="U271" s="32" t="s">
        <v>26</v>
      </c>
      <c r="V271" s="23" t="s">
        <v>385</v>
      </c>
      <c r="W271" s="23"/>
      <c r="X271" s="31"/>
      <c r="Y271" s="31"/>
      <c r="Z271" s="31"/>
      <c r="AA271" s="31"/>
    </row>
    <row r="272" spans="1:27" s="32" customFormat="1" ht="25.5">
      <c r="A272" s="21" t="s">
        <v>373</v>
      </c>
      <c r="B272" s="22" t="s">
        <v>374</v>
      </c>
      <c r="C272" s="22" t="s">
        <v>71</v>
      </c>
      <c r="D272" s="21" t="s">
        <v>34</v>
      </c>
      <c r="E272" s="21" t="s">
        <v>35</v>
      </c>
      <c r="F272" s="23" t="s">
        <v>36</v>
      </c>
      <c r="G272" s="29">
        <v>30</v>
      </c>
      <c r="H272" s="25">
        <f>LOG(G272)</f>
        <v>1.4771212547196624</v>
      </c>
      <c r="I272" s="29">
        <v>2.6</v>
      </c>
      <c r="J272" s="26">
        <f t="shared" si="25"/>
        <v>0.21228911104120876</v>
      </c>
      <c r="K272" s="24">
        <f aca="true" t="shared" si="26" ref="K272:K335">(G272/I272)^2</f>
        <v>133.1360946745562</v>
      </c>
      <c r="L272" s="24">
        <f t="shared" si="24"/>
        <v>2.449489742783178</v>
      </c>
      <c r="M272" s="27">
        <v>6</v>
      </c>
      <c r="N272" s="28" t="s">
        <v>382</v>
      </c>
      <c r="O272" s="29" t="s">
        <v>386</v>
      </c>
      <c r="P272" s="23" t="s">
        <v>387</v>
      </c>
      <c r="Q272" s="30"/>
      <c r="R272" s="31"/>
      <c r="S272" s="31"/>
      <c r="T272" s="31"/>
      <c r="U272" s="32" t="s">
        <v>51</v>
      </c>
      <c r="V272" s="23"/>
      <c r="W272" s="23"/>
      <c r="X272" s="31"/>
      <c r="Y272" s="31"/>
      <c r="Z272" s="31"/>
      <c r="AA272" s="31"/>
    </row>
    <row r="273" spans="1:27" s="32" customFormat="1" ht="12.75">
      <c r="A273" s="21" t="s">
        <v>373</v>
      </c>
      <c r="B273" s="22" t="s">
        <v>374</v>
      </c>
      <c r="C273" s="22" t="s">
        <v>71</v>
      </c>
      <c r="D273" s="21" t="s">
        <v>34</v>
      </c>
      <c r="E273" s="21" t="s">
        <v>35</v>
      </c>
      <c r="F273" s="23" t="s">
        <v>36</v>
      </c>
      <c r="G273" s="29">
        <v>11.275833333333331</v>
      </c>
      <c r="H273" s="25">
        <f>LOG(G273)</f>
        <v>1.052148647995185</v>
      </c>
      <c r="I273" s="29">
        <v>1.8586140398129747</v>
      </c>
      <c r="J273" s="26">
        <f t="shared" si="25"/>
        <v>0.5709935316444166</v>
      </c>
      <c r="K273" s="24">
        <f t="shared" si="26"/>
        <v>36.80602095889919</v>
      </c>
      <c r="L273" s="24">
        <f t="shared" si="24"/>
        <v>3.4641016151377544</v>
      </c>
      <c r="M273" s="27">
        <v>12</v>
      </c>
      <c r="N273" s="28" t="s">
        <v>388</v>
      </c>
      <c r="O273" s="29">
        <v>0.26715277777777774</v>
      </c>
      <c r="P273" s="23" t="s">
        <v>389</v>
      </c>
      <c r="Q273" s="30"/>
      <c r="R273" s="31"/>
      <c r="S273" s="31"/>
      <c r="T273" s="31"/>
      <c r="U273" s="32" t="s">
        <v>26</v>
      </c>
      <c r="V273" s="23" t="s">
        <v>390</v>
      </c>
      <c r="W273" s="23"/>
      <c r="X273" s="31"/>
      <c r="Y273" s="31"/>
      <c r="Z273" s="31"/>
      <c r="AA273" s="31"/>
    </row>
    <row r="274" spans="1:27" s="32" customFormat="1" ht="12.75">
      <c r="A274" s="21" t="s">
        <v>373</v>
      </c>
      <c r="B274" s="22" t="s">
        <v>374</v>
      </c>
      <c r="C274" s="22" t="s">
        <v>71</v>
      </c>
      <c r="D274" s="21" t="s">
        <v>34</v>
      </c>
      <c r="E274" s="21" t="s">
        <v>35</v>
      </c>
      <c r="F274" s="23" t="s">
        <v>36</v>
      </c>
      <c r="G274" s="29">
        <v>14</v>
      </c>
      <c r="H274" s="25">
        <f>LOG(G274)</f>
        <v>1.146128035678238</v>
      </c>
      <c r="I274" s="29">
        <v>1.4</v>
      </c>
      <c r="J274" s="26">
        <f t="shared" si="25"/>
        <v>0.282842712474619</v>
      </c>
      <c r="K274" s="24">
        <f t="shared" si="26"/>
        <v>100</v>
      </c>
      <c r="L274" s="24">
        <f t="shared" si="24"/>
        <v>2.8284271247461903</v>
      </c>
      <c r="M274" s="27">
        <v>8</v>
      </c>
      <c r="N274" s="28" t="s">
        <v>418</v>
      </c>
      <c r="O274" s="29" t="s">
        <v>419</v>
      </c>
      <c r="P274" s="23" t="s">
        <v>420</v>
      </c>
      <c r="Q274" s="30"/>
      <c r="R274" s="31"/>
      <c r="S274" s="31"/>
      <c r="T274" s="31"/>
      <c r="U274" s="32" t="s">
        <v>51</v>
      </c>
      <c r="V274" s="23"/>
      <c r="W274" s="23"/>
      <c r="X274" s="31"/>
      <c r="Y274" s="31"/>
      <c r="Z274" s="31"/>
      <c r="AA274" s="31"/>
    </row>
    <row r="275" spans="1:27" s="32" customFormat="1" ht="12.75">
      <c r="A275" s="21" t="s">
        <v>373</v>
      </c>
      <c r="B275" s="22" t="s">
        <v>374</v>
      </c>
      <c r="C275" s="22" t="s">
        <v>71</v>
      </c>
      <c r="D275" s="21" t="s">
        <v>34</v>
      </c>
      <c r="E275" s="21" t="s">
        <v>35</v>
      </c>
      <c r="F275" s="23" t="s">
        <v>36</v>
      </c>
      <c r="G275" s="29">
        <v>6</v>
      </c>
      <c r="H275" s="25">
        <f aca="true" t="shared" si="27" ref="H275:H338">LOG(G275)</f>
        <v>0.7781512503836436</v>
      </c>
      <c r="I275" s="29">
        <v>0.5</v>
      </c>
      <c r="J275" s="26">
        <f t="shared" si="25"/>
        <v>0.20412414523193148</v>
      </c>
      <c r="K275" s="24">
        <f t="shared" si="26"/>
        <v>144</v>
      </c>
      <c r="L275" s="24">
        <f t="shared" si="24"/>
        <v>2.449489742783178</v>
      </c>
      <c r="M275" s="27">
        <v>6</v>
      </c>
      <c r="N275" s="28" t="s">
        <v>391</v>
      </c>
      <c r="O275" s="29" t="s">
        <v>392</v>
      </c>
      <c r="P275" s="23" t="s">
        <v>393</v>
      </c>
      <c r="Q275" s="30"/>
      <c r="R275" s="31"/>
      <c r="S275" s="31"/>
      <c r="T275" s="31"/>
      <c r="U275" s="32" t="s">
        <v>26</v>
      </c>
      <c r="V275" s="23" t="s">
        <v>394</v>
      </c>
      <c r="W275" s="23"/>
      <c r="X275" s="31"/>
      <c r="Y275" s="31"/>
      <c r="Z275" s="31"/>
      <c r="AA275" s="31"/>
    </row>
    <row r="276" spans="1:27" s="32" customFormat="1" ht="12.75">
      <c r="A276" s="21" t="s">
        <v>373</v>
      </c>
      <c r="B276" s="22" t="s">
        <v>374</v>
      </c>
      <c r="C276" s="22" t="s">
        <v>71</v>
      </c>
      <c r="D276" s="21" t="s">
        <v>34</v>
      </c>
      <c r="E276" s="21" t="s">
        <v>35</v>
      </c>
      <c r="F276" s="23" t="s">
        <v>36</v>
      </c>
      <c r="G276" s="29">
        <v>3.7</v>
      </c>
      <c r="H276" s="25">
        <f t="shared" si="27"/>
        <v>0.568201724066995</v>
      </c>
      <c r="I276" s="29">
        <v>0.3</v>
      </c>
      <c r="J276" s="26">
        <f t="shared" si="25"/>
        <v>0.21452037657280465</v>
      </c>
      <c r="K276" s="24">
        <f t="shared" si="26"/>
        <v>152.11111111111111</v>
      </c>
      <c r="L276" s="24">
        <f t="shared" si="24"/>
        <v>2.6457513110645907</v>
      </c>
      <c r="M276" s="27">
        <v>7</v>
      </c>
      <c r="N276" s="28" t="s">
        <v>391</v>
      </c>
      <c r="O276" s="29" t="s">
        <v>399</v>
      </c>
      <c r="P276" s="23" t="s">
        <v>393</v>
      </c>
      <c r="Q276" s="30"/>
      <c r="R276" s="31"/>
      <c r="S276" s="31"/>
      <c r="T276" s="31"/>
      <c r="U276" s="32" t="s">
        <v>26</v>
      </c>
      <c r="V276" s="23" t="s">
        <v>394</v>
      </c>
      <c r="W276" s="23"/>
      <c r="X276" s="31"/>
      <c r="Y276" s="31"/>
      <c r="Z276" s="31"/>
      <c r="AA276" s="31"/>
    </row>
    <row r="277" spans="1:27" s="32" customFormat="1" ht="12.75">
      <c r="A277" s="21" t="s">
        <v>373</v>
      </c>
      <c r="B277" s="22" t="s">
        <v>374</v>
      </c>
      <c r="C277" s="22" t="s">
        <v>71</v>
      </c>
      <c r="D277" s="21" t="s">
        <v>34</v>
      </c>
      <c r="E277" s="21" t="s">
        <v>35</v>
      </c>
      <c r="F277" s="23" t="s">
        <v>36</v>
      </c>
      <c r="G277" s="29">
        <v>4.9</v>
      </c>
      <c r="H277" s="25">
        <f t="shared" si="27"/>
        <v>0.6901960800285137</v>
      </c>
      <c r="I277" s="29">
        <v>0.6</v>
      </c>
      <c r="J277" s="26">
        <f t="shared" si="25"/>
        <v>0.36734693877551017</v>
      </c>
      <c r="K277" s="24">
        <f t="shared" si="26"/>
        <v>66.69444444444446</v>
      </c>
      <c r="L277" s="24">
        <f t="shared" si="24"/>
        <v>3</v>
      </c>
      <c r="M277" s="27">
        <v>9</v>
      </c>
      <c r="N277" s="28" t="s">
        <v>418</v>
      </c>
      <c r="O277" s="29" t="s">
        <v>396</v>
      </c>
      <c r="P277" s="23" t="s">
        <v>397</v>
      </c>
      <c r="Q277" s="30"/>
      <c r="R277" s="31"/>
      <c r="S277" s="31"/>
      <c r="T277" s="31"/>
      <c r="U277" s="32" t="s">
        <v>26</v>
      </c>
      <c r="V277" s="23" t="s">
        <v>398</v>
      </c>
      <c r="W277" s="23"/>
      <c r="X277" s="31"/>
      <c r="Y277" s="31"/>
      <c r="Z277" s="31"/>
      <c r="AA277" s="31"/>
    </row>
    <row r="278" spans="1:27" s="32" customFormat="1" ht="12.75">
      <c r="A278" s="21" t="s">
        <v>373</v>
      </c>
      <c r="B278" s="22" t="s">
        <v>374</v>
      </c>
      <c r="C278" s="22" t="s">
        <v>71</v>
      </c>
      <c r="D278" s="21" t="s">
        <v>34</v>
      </c>
      <c r="E278" s="21" t="s">
        <v>35</v>
      </c>
      <c r="F278" s="23" t="s">
        <v>36</v>
      </c>
      <c r="G278" s="29">
        <v>3.4</v>
      </c>
      <c r="H278" s="25">
        <f t="shared" si="27"/>
        <v>0.5314789170422551</v>
      </c>
      <c r="I278" s="29">
        <v>0.35</v>
      </c>
      <c r="J278" s="26">
        <f t="shared" si="25"/>
        <v>0.325528582664392</v>
      </c>
      <c r="K278" s="24">
        <f t="shared" si="26"/>
        <v>94.36734693877553</v>
      </c>
      <c r="L278" s="24">
        <f t="shared" si="24"/>
        <v>3.1622776601683795</v>
      </c>
      <c r="M278" s="27">
        <v>10</v>
      </c>
      <c r="N278" s="28" t="s">
        <v>400</v>
      </c>
      <c r="O278" s="29" t="s">
        <v>401</v>
      </c>
      <c r="P278" s="23" t="s">
        <v>402</v>
      </c>
      <c r="Q278" s="30"/>
      <c r="R278" s="31"/>
      <c r="S278" s="31"/>
      <c r="T278" s="31"/>
      <c r="U278" s="32" t="s">
        <v>26</v>
      </c>
      <c r="V278" s="23" t="s">
        <v>403</v>
      </c>
      <c r="W278" s="23"/>
      <c r="X278" s="31"/>
      <c r="Y278" s="31"/>
      <c r="Z278" s="31"/>
      <c r="AA278" s="31"/>
    </row>
    <row r="279" spans="1:27" s="32" customFormat="1" ht="12.75">
      <c r="A279" s="21" t="s">
        <v>373</v>
      </c>
      <c r="B279" s="22" t="s">
        <v>374</v>
      </c>
      <c r="C279" s="22" t="s">
        <v>71</v>
      </c>
      <c r="D279" s="21" t="s">
        <v>34</v>
      </c>
      <c r="E279" s="21" t="s">
        <v>35</v>
      </c>
      <c r="F279" s="23" t="s">
        <v>36</v>
      </c>
      <c r="G279" s="29">
        <v>3.69</v>
      </c>
      <c r="H279" s="25">
        <f t="shared" si="27"/>
        <v>0.5670263661590603</v>
      </c>
      <c r="I279" s="29">
        <v>0.21</v>
      </c>
      <c r="J279" s="26">
        <f t="shared" si="25"/>
        <v>0.311712024596436</v>
      </c>
      <c r="K279" s="24">
        <f t="shared" si="26"/>
        <v>308.7551020408164</v>
      </c>
      <c r="L279" s="24">
        <f t="shared" si="24"/>
        <v>5.477225575051661</v>
      </c>
      <c r="M279" s="27">
        <v>30</v>
      </c>
      <c r="N279" s="28" t="s">
        <v>407</v>
      </c>
      <c r="O279" s="29" t="s">
        <v>408</v>
      </c>
      <c r="P279" s="23" t="s">
        <v>409</v>
      </c>
      <c r="Q279" s="30"/>
      <c r="R279" s="31"/>
      <c r="S279" s="31"/>
      <c r="T279" s="31"/>
      <c r="U279" s="32" t="s">
        <v>26</v>
      </c>
      <c r="V279" s="23" t="s">
        <v>410</v>
      </c>
      <c r="W279" s="23"/>
      <c r="X279" s="31"/>
      <c r="Y279" s="31"/>
      <c r="Z279" s="31"/>
      <c r="AA279" s="31"/>
    </row>
    <row r="280" spans="1:27" ht="51">
      <c r="A280" s="21" t="s">
        <v>373</v>
      </c>
      <c r="B280" s="22" t="s">
        <v>374</v>
      </c>
      <c r="C280" s="22" t="s">
        <v>71</v>
      </c>
      <c r="D280" s="21" t="s">
        <v>34</v>
      </c>
      <c r="E280" s="21" t="s">
        <v>35</v>
      </c>
      <c r="F280" s="23" t="s">
        <v>36</v>
      </c>
      <c r="G280" s="29">
        <v>7.262244743667915</v>
      </c>
      <c r="H280" s="25">
        <f>LOG(G280)</f>
        <v>0.8610708809075526</v>
      </c>
      <c r="I280" s="29">
        <v>0.13770087201741438</v>
      </c>
      <c r="J280" s="26">
        <f t="shared" si="25"/>
        <v>0.28441799377006327</v>
      </c>
      <c r="K280" s="24">
        <f t="shared" si="26"/>
        <v>2781.4315768611855</v>
      </c>
      <c r="L280" s="24">
        <f t="shared" si="24"/>
        <v>15</v>
      </c>
      <c r="M280" s="27">
        <v>225</v>
      </c>
      <c r="N280" s="28" t="s">
        <v>251</v>
      </c>
      <c r="O280" s="29"/>
      <c r="P280" s="81" t="s">
        <v>421</v>
      </c>
      <c r="U280" s="32" t="s">
        <v>32</v>
      </c>
      <c r="V280" s="23" t="s">
        <v>422</v>
      </c>
      <c r="W280" s="23"/>
      <c r="AA280" s="31"/>
    </row>
    <row r="281" spans="1:27" ht="12.75">
      <c r="A281" s="22" t="s">
        <v>373</v>
      </c>
      <c r="B281" s="22" t="s">
        <v>374</v>
      </c>
      <c r="C281" s="22" t="s">
        <v>71</v>
      </c>
      <c r="D281" s="22" t="s">
        <v>41</v>
      </c>
      <c r="E281" s="21" t="s">
        <v>39</v>
      </c>
      <c r="F281" s="32" t="s">
        <v>40</v>
      </c>
      <c r="G281" s="33">
        <v>1.03</v>
      </c>
      <c r="H281" s="25">
        <f t="shared" si="27"/>
        <v>0.012837224705172217</v>
      </c>
      <c r="I281" s="33">
        <v>0.2</v>
      </c>
      <c r="J281" s="26">
        <f t="shared" si="25"/>
        <v>1.1154490575801996</v>
      </c>
      <c r="K281" s="24">
        <f t="shared" si="26"/>
        <v>26.522499999999994</v>
      </c>
      <c r="L281" s="24">
        <f t="shared" si="24"/>
        <v>5.744562646538029</v>
      </c>
      <c r="M281" s="33">
        <v>33</v>
      </c>
      <c r="N281" s="36" t="s">
        <v>231</v>
      </c>
      <c r="O281" s="35" t="s">
        <v>376</v>
      </c>
      <c r="P281" s="32" t="s">
        <v>377</v>
      </c>
      <c r="U281" s="32" t="s">
        <v>51</v>
      </c>
      <c r="V281" s="32"/>
      <c r="W281" s="32"/>
      <c r="AA281" s="31"/>
    </row>
    <row r="282" spans="1:27" ht="12.75">
      <c r="A282" s="22" t="s">
        <v>373</v>
      </c>
      <c r="B282" s="22" t="s">
        <v>374</v>
      </c>
      <c r="C282" s="22" t="s">
        <v>71</v>
      </c>
      <c r="D282" s="22" t="s">
        <v>41</v>
      </c>
      <c r="E282" s="21" t="s">
        <v>39</v>
      </c>
      <c r="F282" s="32" t="s">
        <v>40</v>
      </c>
      <c r="G282" s="33">
        <v>0.7</v>
      </c>
      <c r="H282" s="25">
        <f>LOG(G282)</f>
        <v>-0.1549019599857432</v>
      </c>
      <c r="I282" s="33">
        <v>0.18</v>
      </c>
      <c r="J282" s="26">
        <f t="shared" si="25"/>
        <v>0.9621404708847279</v>
      </c>
      <c r="K282" s="24">
        <f t="shared" si="26"/>
        <v>15.123456790123456</v>
      </c>
      <c r="L282" s="24">
        <f t="shared" si="24"/>
        <v>3.7416573867739413</v>
      </c>
      <c r="M282" s="33">
        <v>14</v>
      </c>
      <c r="N282" s="36" t="s">
        <v>378</v>
      </c>
      <c r="O282" s="35"/>
      <c r="P282" s="32" t="s">
        <v>379</v>
      </c>
      <c r="U282" s="32" t="s">
        <v>51</v>
      </c>
      <c r="V282" s="32"/>
      <c r="W282" s="32"/>
      <c r="AA282" s="31"/>
    </row>
    <row r="283" spans="1:27" ht="12.75">
      <c r="A283" s="22" t="s">
        <v>373</v>
      </c>
      <c r="B283" s="22" t="s">
        <v>374</v>
      </c>
      <c r="C283" s="22" t="s">
        <v>71</v>
      </c>
      <c r="D283" s="22" t="s">
        <v>41</v>
      </c>
      <c r="E283" s="21" t="s">
        <v>39</v>
      </c>
      <c r="F283" s="32" t="s">
        <v>40</v>
      </c>
      <c r="G283" s="33">
        <v>0.63</v>
      </c>
      <c r="H283" s="25">
        <f>LOG(G283)</f>
        <v>-0.2006594505464183</v>
      </c>
      <c r="I283" s="33">
        <v>0.15</v>
      </c>
      <c r="J283" s="26">
        <f t="shared" si="25"/>
        <v>0.9816918156232524</v>
      </c>
      <c r="K283" s="24">
        <f t="shared" si="26"/>
        <v>17.64</v>
      </c>
      <c r="L283" s="24">
        <f t="shared" si="24"/>
        <v>4.123105625617661</v>
      </c>
      <c r="M283" s="33">
        <v>17</v>
      </c>
      <c r="N283" s="36" t="s">
        <v>380</v>
      </c>
      <c r="O283" s="35"/>
      <c r="P283" s="32" t="s">
        <v>381</v>
      </c>
      <c r="U283" s="32" t="s">
        <v>51</v>
      </c>
      <c r="V283" s="32"/>
      <c r="W283" s="32"/>
      <c r="AA283" s="31"/>
    </row>
    <row r="284" spans="1:27" ht="12.75">
      <c r="A284" s="21" t="s">
        <v>373</v>
      </c>
      <c r="B284" s="22" t="s">
        <v>374</v>
      </c>
      <c r="C284" s="22" t="s">
        <v>71</v>
      </c>
      <c r="D284" s="21" t="s">
        <v>39</v>
      </c>
      <c r="E284" s="21" t="s">
        <v>39</v>
      </c>
      <c r="F284" s="23" t="s">
        <v>40</v>
      </c>
      <c r="G284" s="24">
        <v>0.4816148078995223</v>
      </c>
      <c r="H284" s="25">
        <f t="shared" si="27"/>
        <v>-0.31730016857293664</v>
      </c>
      <c r="I284" s="24">
        <v>0.036274000647225885</v>
      </c>
      <c r="J284" s="26">
        <f t="shared" si="25"/>
        <v>0.26090731050731836</v>
      </c>
      <c r="K284" s="24">
        <f t="shared" si="26"/>
        <v>176.28231696789825</v>
      </c>
      <c r="L284" s="24">
        <f t="shared" si="24"/>
        <v>3.4641016151377544</v>
      </c>
      <c r="M284" s="27">
        <v>12</v>
      </c>
      <c r="N284" s="28" t="s">
        <v>388</v>
      </c>
      <c r="O284" s="29">
        <v>0.26715277777777774</v>
      </c>
      <c r="P284" s="23" t="s">
        <v>389</v>
      </c>
      <c r="U284" s="32" t="s">
        <v>26</v>
      </c>
      <c r="V284" s="23" t="s">
        <v>390</v>
      </c>
      <c r="W284" s="23"/>
      <c r="AA284" s="31"/>
    </row>
    <row r="285" spans="1:27" ht="12.75">
      <c r="A285" s="22" t="s">
        <v>373</v>
      </c>
      <c r="B285" s="22" t="s">
        <v>374</v>
      </c>
      <c r="C285" s="22" t="s">
        <v>71</v>
      </c>
      <c r="D285" s="22" t="s">
        <v>41</v>
      </c>
      <c r="E285" s="21" t="s">
        <v>39</v>
      </c>
      <c r="F285" s="32" t="s">
        <v>40</v>
      </c>
      <c r="G285" s="33">
        <v>0.63</v>
      </c>
      <c r="H285" s="25">
        <f t="shared" si="27"/>
        <v>-0.2006594505464183</v>
      </c>
      <c r="I285" s="33">
        <v>0.06</v>
      </c>
      <c r="J285" s="26">
        <f t="shared" si="25"/>
        <v>0.2332847374079217</v>
      </c>
      <c r="K285" s="24">
        <f t="shared" si="26"/>
        <v>110.25</v>
      </c>
      <c r="L285" s="24">
        <f t="shared" si="24"/>
        <v>2.449489742783178</v>
      </c>
      <c r="M285" s="33">
        <v>6</v>
      </c>
      <c r="N285" s="36" t="s">
        <v>391</v>
      </c>
      <c r="O285" s="35" t="s">
        <v>392</v>
      </c>
      <c r="P285" s="32" t="s">
        <v>393</v>
      </c>
      <c r="U285" s="32" t="s">
        <v>26</v>
      </c>
      <c r="V285" s="32" t="s">
        <v>394</v>
      </c>
      <c r="W285" s="32"/>
      <c r="AA285" s="31"/>
    </row>
    <row r="286" spans="1:27" ht="12.75">
      <c r="A286" s="22" t="s">
        <v>373</v>
      </c>
      <c r="B286" s="22" t="s">
        <v>374</v>
      </c>
      <c r="C286" s="22" t="s">
        <v>71</v>
      </c>
      <c r="D286" s="22" t="s">
        <v>41</v>
      </c>
      <c r="E286" s="21" t="s">
        <v>39</v>
      </c>
      <c r="F286" s="32" t="s">
        <v>40</v>
      </c>
      <c r="G286" s="33">
        <v>0.41</v>
      </c>
      <c r="H286" s="25">
        <f t="shared" si="27"/>
        <v>-0.38721614328026455</v>
      </c>
      <c r="I286" s="33">
        <v>0.07</v>
      </c>
      <c r="J286" s="26">
        <f t="shared" si="25"/>
        <v>0.5121951219512196</v>
      </c>
      <c r="K286" s="24">
        <f t="shared" si="26"/>
        <v>34.30612244897958</v>
      </c>
      <c r="L286" s="24">
        <f t="shared" si="24"/>
        <v>3</v>
      </c>
      <c r="M286" s="33">
        <v>9</v>
      </c>
      <c r="N286" s="36" t="s">
        <v>395</v>
      </c>
      <c r="O286" s="35" t="s">
        <v>396</v>
      </c>
      <c r="P286" s="32" t="s">
        <v>397</v>
      </c>
      <c r="U286" s="32" t="s">
        <v>26</v>
      </c>
      <c r="V286" s="32" t="s">
        <v>398</v>
      </c>
      <c r="W286" s="32"/>
      <c r="AA286" s="31"/>
    </row>
    <row r="287" spans="1:27" ht="12.75">
      <c r="A287" s="22" t="s">
        <v>373</v>
      </c>
      <c r="B287" s="22" t="s">
        <v>374</v>
      </c>
      <c r="C287" s="22" t="s">
        <v>71</v>
      </c>
      <c r="D287" s="22" t="s">
        <v>41</v>
      </c>
      <c r="E287" s="21" t="s">
        <v>39</v>
      </c>
      <c r="F287" s="32" t="s">
        <v>40</v>
      </c>
      <c r="G287" s="33">
        <v>0.51</v>
      </c>
      <c r="H287" s="25">
        <f t="shared" si="27"/>
        <v>-0.2924298239020636</v>
      </c>
      <c r="I287" s="33">
        <v>0.04</v>
      </c>
      <c r="J287" s="26">
        <f t="shared" si="25"/>
        <v>0.20750990675016398</v>
      </c>
      <c r="K287" s="24">
        <f t="shared" si="26"/>
        <v>162.5625</v>
      </c>
      <c r="L287" s="24">
        <f t="shared" si="24"/>
        <v>2.6457513110645907</v>
      </c>
      <c r="M287" s="33">
        <v>7</v>
      </c>
      <c r="N287" s="36" t="s">
        <v>391</v>
      </c>
      <c r="O287" s="35" t="s">
        <v>399</v>
      </c>
      <c r="P287" s="32" t="s">
        <v>393</v>
      </c>
      <c r="U287" s="32" t="s">
        <v>26</v>
      </c>
      <c r="V287" s="32" t="s">
        <v>394</v>
      </c>
      <c r="W287" s="32"/>
      <c r="AA287" s="31"/>
    </row>
    <row r="288" spans="1:27" ht="12.75">
      <c r="A288" s="22" t="s">
        <v>373</v>
      </c>
      <c r="B288" s="22" t="s">
        <v>374</v>
      </c>
      <c r="C288" s="22" t="s">
        <v>71</v>
      </c>
      <c r="D288" s="22" t="s">
        <v>41</v>
      </c>
      <c r="E288" s="21" t="s">
        <v>39</v>
      </c>
      <c r="F288" s="32" t="s">
        <v>40</v>
      </c>
      <c r="G288" s="33">
        <v>0.25</v>
      </c>
      <c r="H288" s="25">
        <f t="shared" si="27"/>
        <v>-0.6020599913279624</v>
      </c>
      <c r="I288" s="33">
        <v>0.04</v>
      </c>
      <c r="J288" s="26">
        <f t="shared" si="25"/>
        <v>0.5059644256269408</v>
      </c>
      <c r="K288" s="24">
        <f t="shared" si="26"/>
        <v>39.0625</v>
      </c>
      <c r="L288" s="24">
        <f t="shared" si="24"/>
        <v>3.1622776601683795</v>
      </c>
      <c r="M288" s="33">
        <v>10</v>
      </c>
      <c r="N288" s="36" t="s">
        <v>400</v>
      </c>
      <c r="O288" s="35" t="s">
        <v>401</v>
      </c>
      <c r="P288" s="32" t="s">
        <v>402</v>
      </c>
      <c r="U288" s="32" t="s">
        <v>26</v>
      </c>
      <c r="V288" s="32" t="s">
        <v>403</v>
      </c>
      <c r="W288" s="32"/>
      <c r="AA288" s="31"/>
    </row>
    <row r="289" spans="1:27" ht="12.75">
      <c r="A289" s="22" t="s">
        <v>373</v>
      </c>
      <c r="B289" s="22" t="s">
        <v>374</v>
      </c>
      <c r="C289" s="22" t="s">
        <v>71</v>
      </c>
      <c r="D289" s="22" t="s">
        <v>41</v>
      </c>
      <c r="E289" s="21" t="s">
        <v>39</v>
      </c>
      <c r="F289" s="32" t="s">
        <v>40</v>
      </c>
      <c r="G289" s="24">
        <v>0.422</v>
      </c>
      <c r="H289" s="25">
        <f t="shared" si="27"/>
        <v>-0.37468754903832613</v>
      </c>
      <c r="I289" s="37">
        <v>0.012</v>
      </c>
      <c r="J289" s="26">
        <f t="shared" si="25"/>
        <v>0.15575049028582924</v>
      </c>
      <c r="K289" s="24">
        <f t="shared" si="26"/>
        <v>1236.6944444444443</v>
      </c>
      <c r="L289" s="24">
        <f t="shared" si="24"/>
        <v>5.477225575051661</v>
      </c>
      <c r="M289" s="27">
        <v>30</v>
      </c>
      <c r="N289" s="36" t="s">
        <v>407</v>
      </c>
      <c r="O289" s="35" t="s">
        <v>408</v>
      </c>
      <c r="P289" s="23" t="s">
        <v>409</v>
      </c>
      <c r="U289" s="32" t="s">
        <v>26</v>
      </c>
      <c r="V289" s="32" t="s">
        <v>410</v>
      </c>
      <c r="W289" s="23"/>
      <c r="AA289" s="31"/>
    </row>
    <row r="290" spans="1:27" ht="38.25">
      <c r="A290" s="22" t="s">
        <v>373</v>
      </c>
      <c r="B290" s="22" t="s">
        <v>374</v>
      </c>
      <c r="C290" s="22" t="s">
        <v>71</v>
      </c>
      <c r="D290" s="22" t="s">
        <v>41</v>
      </c>
      <c r="E290" s="21" t="s">
        <v>39</v>
      </c>
      <c r="F290" s="32" t="s">
        <v>40</v>
      </c>
      <c r="G290" s="47">
        <v>0.4376666666666666</v>
      </c>
      <c r="H290" s="25">
        <f t="shared" si="27"/>
        <v>-0.3588565286301832</v>
      </c>
      <c r="I290" s="82">
        <v>0.009051586945994828</v>
      </c>
      <c r="J290" s="26">
        <f t="shared" si="25"/>
        <v>0.20577795804592075</v>
      </c>
      <c r="K290" s="24">
        <f t="shared" si="26"/>
        <v>2337.962214161016</v>
      </c>
      <c r="L290" s="24">
        <f t="shared" si="24"/>
        <v>9.9498743710662</v>
      </c>
      <c r="M290" s="33">
        <v>99</v>
      </c>
      <c r="N290" s="36" t="s">
        <v>251</v>
      </c>
      <c r="O290" s="48"/>
      <c r="P290" s="80" t="s">
        <v>423</v>
      </c>
      <c r="U290" s="32" t="s">
        <v>32</v>
      </c>
      <c r="V290" s="32" t="s">
        <v>385</v>
      </c>
      <c r="W290" s="32"/>
      <c r="AA290" s="31"/>
    </row>
    <row r="291" spans="1:26" ht="12.75">
      <c r="A291" s="39" t="s">
        <v>424</v>
      </c>
      <c r="B291" s="39" t="s">
        <v>425</v>
      </c>
      <c r="C291" s="22" t="s">
        <v>44</v>
      </c>
      <c r="D291" s="39" t="s">
        <v>21</v>
      </c>
      <c r="E291" s="21" t="s">
        <v>21</v>
      </c>
      <c r="F291" s="39" t="s">
        <v>426</v>
      </c>
      <c r="G291" s="26">
        <v>8.675</v>
      </c>
      <c r="H291" s="26">
        <f t="shared" si="27"/>
        <v>0.9382694834629114</v>
      </c>
      <c r="I291" s="26">
        <v>0.9040416666666666</v>
      </c>
      <c r="J291" s="26">
        <f t="shared" si="25"/>
        <v>0.2552669498038742</v>
      </c>
      <c r="K291" s="26">
        <f t="shared" si="26"/>
        <v>92.07931342329184</v>
      </c>
      <c r="L291" s="59">
        <f t="shared" si="24"/>
        <v>2.449489742783178</v>
      </c>
      <c r="M291" s="43">
        <v>6</v>
      </c>
      <c r="N291" s="39" t="s">
        <v>427</v>
      </c>
      <c r="O291" s="47">
        <v>1.9316666666666666</v>
      </c>
      <c r="P291" s="39" t="s">
        <v>428</v>
      </c>
      <c r="Q291" s="43"/>
      <c r="R291" s="39" t="s">
        <v>429</v>
      </c>
      <c r="S291" s="39"/>
      <c r="T291" s="32"/>
      <c r="U291" s="32"/>
      <c r="V291" s="32"/>
      <c r="W291" s="32"/>
      <c r="X291" s="32"/>
      <c r="Y291" s="32"/>
      <c r="Z291" s="32"/>
    </row>
    <row r="292" spans="1:26" ht="12.75">
      <c r="A292" s="39" t="s">
        <v>424</v>
      </c>
      <c r="B292" s="39" t="s">
        <v>425</v>
      </c>
      <c r="C292" s="22" t="s">
        <v>44</v>
      </c>
      <c r="D292" s="39" t="s">
        <v>21</v>
      </c>
      <c r="E292" s="21" t="s">
        <v>21</v>
      </c>
      <c r="F292" s="39" t="s">
        <v>426</v>
      </c>
      <c r="G292" s="26">
        <v>5.375</v>
      </c>
      <c r="H292" s="26">
        <f t="shared" si="27"/>
        <v>0.730378468587643</v>
      </c>
      <c r="I292" s="26">
        <v>0.3631083333333333</v>
      </c>
      <c r="J292" s="26">
        <f t="shared" si="25"/>
        <v>0.21362778990157644</v>
      </c>
      <c r="K292" s="26">
        <f t="shared" si="26"/>
        <v>219.12125417759523</v>
      </c>
      <c r="L292" s="59">
        <f t="shared" si="24"/>
        <v>3.1622776601683795</v>
      </c>
      <c r="M292" s="43">
        <v>10</v>
      </c>
      <c r="N292" s="39" t="s">
        <v>430</v>
      </c>
      <c r="O292" s="60">
        <v>8.75</v>
      </c>
      <c r="P292" s="39" t="s">
        <v>428</v>
      </c>
      <c r="Q292" s="43"/>
      <c r="R292" s="39" t="s">
        <v>429</v>
      </c>
      <c r="S292" s="39"/>
      <c r="T292" s="32"/>
      <c r="U292" s="32"/>
      <c r="V292" s="32"/>
      <c r="W292" s="32"/>
      <c r="X292" s="32"/>
      <c r="Y292" s="32"/>
      <c r="Z292" s="32"/>
    </row>
    <row r="293" spans="1:26" ht="12.75">
      <c r="A293" s="39" t="s">
        <v>424</v>
      </c>
      <c r="B293" s="39" t="s">
        <v>425</v>
      </c>
      <c r="C293" s="22" t="s">
        <v>44</v>
      </c>
      <c r="D293" s="39" t="s">
        <v>21</v>
      </c>
      <c r="E293" s="21" t="s">
        <v>21</v>
      </c>
      <c r="F293" s="39" t="s">
        <v>426</v>
      </c>
      <c r="G293" s="26">
        <v>3.3636366666666664</v>
      </c>
      <c r="H293" s="26">
        <f t="shared" si="27"/>
        <v>0.5268090780343971</v>
      </c>
      <c r="I293" s="26">
        <v>0.12451559031464668</v>
      </c>
      <c r="J293" s="26">
        <f t="shared" si="25"/>
        <v>0.12277529785419568</v>
      </c>
      <c r="K293" s="26">
        <f t="shared" si="26"/>
        <v>729.7442679459913</v>
      </c>
      <c r="L293" s="59">
        <f t="shared" si="24"/>
        <v>3.3166247903554</v>
      </c>
      <c r="M293" s="43">
        <v>11</v>
      </c>
      <c r="N293" s="39" t="s">
        <v>55</v>
      </c>
      <c r="O293" s="60"/>
      <c r="P293" s="39" t="s">
        <v>431</v>
      </c>
      <c r="Q293" s="43"/>
      <c r="R293" s="39" t="s">
        <v>432</v>
      </c>
      <c r="S293" s="39"/>
      <c r="T293" s="32"/>
      <c r="U293" s="32"/>
      <c r="V293" s="32"/>
      <c r="W293" s="32"/>
      <c r="X293" s="32"/>
      <c r="Y293" s="32"/>
      <c r="Z293" s="32"/>
    </row>
    <row r="294" spans="1:26" ht="12.75">
      <c r="A294" s="39" t="s">
        <v>424</v>
      </c>
      <c r="B294" s="39" t="s">
        <v>425</v>
      </c>
      <c r="C294" s="22" t="s">
        <v>44</v>
      </c>
      <c r="D294" s="39" t="s">
        <v>34</v>
      </c>
      <c r="E294" s="21" t="s">
        <v>35</v>
      </c>
      <c r="F294" s="39" t="s">
        <v>36</v>
      </c>
      <c r="G294" s="26">
        <v>15.0471</v>
      </c>
      <c r="H294" s="26">
        <f t="shared" si="27"/>
        <v>1.1774528072151875</v>
      </c>
      <c r="I294" s="26">
        <v>2.4103</v>
      </c>
      <c r="J294" s="26">
        <f t="shared" si="25"/>
        <v>0.42380620751234344</v>
      </c>
      <c r="K294" s="26">
        <f t="shared" si="26"/>
        <v>38.97296189795785</v>
      </c>
      <c r="L294" s="59">
        <f t="shared" si="24"/>
        <v>2.6457513110645907</v>
      </c>
      <c r="M294" s="43">
        <v>7</v>
      </c>
      <c r="N294" s="39" t="s">
        <v>433</v>
      </c>
      <c r="O294" s="60"/>
      <c r="P294" s="39" t="s">
        <v>434</v>
      </c>
      <c r="Q294" s="43"/>
      <c r="R294" s="39" t="s">
        <v>435</v>
      </c>
      <c r="S294" s="39"/>
      <c r="T294" s="32"/>
      <c r="U294" s="32"/>
      <c r="V294" s="32"/>
      <c r="W294" s="32"/>
      <c r="X294" s="32"/>
      <c r="Y294" s="32"/>
      <c r="Z294" s="32"/>
    </row>
    <row r="295" spans="1:26" ht="12.75">
      <c r="A295" s="39" t="s">
        <v>424</v>
      </c>
      <c r="B295" s="39" t="s">
        <v>425</v>
      </c>
      <c r="C295" s="22" t="s">
        <v>44</v>
      </c>
      <c r="D295" s="39" t="s">
        <v>34</v>
      </c>
      <c r="E295" s="21" t="s">
        <v>35</v>
      </c>
      <c r="F295" s="39" t="s">
        <v>36</v>
      </c>
      <c r="G295" s="26">
        <v>4.85</v>
      </c>
      <c r="H295" s="26">
        <f t="shared" si="27"/>
        <v>0.6857417386022636</v>
      </c>
      <c r="I295" s="26">
        <v>0.7472170590486626</v>
      </c>
      <c r="J295" s="26">
        <f t="shared" si="25"/>
        <v>0.377381550880889</v>
      </c>
      <c r="K295" s="26">
        <f t="shared" si="26"/>
        <v>42.12985074626871</v>
      </c>
      <c r="L295" s="59">
        <f t="shared" si="24"/>
        <v>2.449489742783178</v>
      </c>
      <c r="M295" s="43">
        <v>6</v>
      </c>
      <c r="N295" s="39" t="s">
        <v>427</v>
      </c>
      <c r="O295" s="47">
        <v>1.9316666666666666</v>
      </c>
      <c r="P295" s="39" t="s">
        <v>428</v>
      </c>
      <c r="Q295" s="43"/>
      <c r="R295" s="39" t="s">
        <v>429</v>
      </c>
      <c r="S295" s="39"/>
      <c r="T295" s="32"/>
      <c r="U295" s="32"/>
      <c r="V295" s="32"/>
      <c r="W295" s="32"/>
      <c r="X295" s="32"/>
      <c r="Y295" s="32"/>
      <c r="Z295" s="32"/>
    </row>
    <row r="296" spans="1:26" ht="12.75">
      <c r="A296" s="39" t="s">
        <v>424</v>
      </c>
      <c r="B296" s="39" t="s">
        <v>425</v>
      </c>
      <c r="C296" s="22" t="s">
        <v>44</v>
      </c>
      <c r="D296" s="39" t="s">
        <v>34</v>
      </c>
      <c r="E296" s="21" t="s">
        <v>35</v>
      </c>
      <c r="F296" s="39" t="s">
        <v>36</v>
      </c>
      <c r="G296" s="26">
        <v>6.755</v>
      </c>
      <c r="H296" s="26">
        <f t="shared" si="27"/>
        <v>0.8296253533580494</v>
      </c>
      <c r="I296" s="26">
        <v>1.2359757728657588</v>
      </c>
      <c r="J296" s="26">
        <f t="shared" si="25"/>
        <v>0.5786082272454088</v>
      </c>
      <c r="K296" s="26">
        <f t="shared" si="26"/>
        <v>29.86969518991764</v>
      </c>
      <c r="L296" s="59">
        <f t="shared" si="24"/>
        <v>3.1622776601683795</v>
      </c>
      <c r="M296" s="43">
        <v>10</v>
      </c>
      <c r="N296" s="39" t="s">
        <v>430</v>
      </c>
      <c r="O296" s="60">
        <v>8.75</v>
      </c>
      <c r="P296" s="39" t="s">
        <v>428</v>
      </c>
      <c r="Q296" s="43"/>
      <c r="R296" s="39" t="s">
        <v>429</v>
      </c>
      <c r="S296" s="39"/>
      <c r="T296" s="32"/>
      <c r="U296" s="32"/>
      <c r="V296" s="32"/>
      <c r="W296" s="32"/>
      <c r="X296" s="32"/>
      <c r="Y296" s="32"/>
      <c r="Z296" s="32"/>
    </row>
    <row r="297" spans="1:26" ht="12.75">
      <c r="A297" s="39" t="s">
        <v>424</v>
      </c>
      <c r="B297" s="39" t="s">
        <v>425</v>
      </c>
      <c r="C297" s="22" t="s">
        <v>44</v>
      </c>
      <c r="D297" s="39" t="s">
        <v>34</v>
      </c>
      <c r="E297" s="21" t="s">
        <v>35</v>
      </c>
      <c r="F297" s="39" t="s">
        <v>36</v>
      </c>
      <c r="G297" s="26">
        <v>7.0529</v>
      </c>
      <c r="H297" s="26">
        <f t="shared" si="27"/>
        <v>0.848367726215781</v>
      </c>
      <c r="I297" s="26">
        <v>1.23</v>
      </c>
      <c r="J297" s="26">
        <f t="shared" si="25"/>
        <v>0.4614093653120626</v>
      </c>
      <c r="K297" s="26">
        <f t="shared" si="26"/>
        <v>32.87950189040915</v>
      </c>
      <c r="L297" s="59">
        <f t="shared" si="24"/>
        <v>2.6457513110645907</v>
      </c>
      <c r="M297" s="43">
        <v>7</v>
      </c>
      <c r="N297" s="39" t="s">
        <v>55</v>
      </c>
      <c r="O297" s="60"/>
      <c r="P297" s="39" t="s">
        <v>434</v>
      </c>
      <c r="Q297" s="43"/>
      <c r="R297" s="39" t="s">
        <v>435</v>
      </c>
      <c r="S297" s="39"/>
      <c r="T297" s="32"/>
      <c r="U297" s="32"/>
      <c r="V297" s="32"/>
      <c r="W297" s="32"/>
      <c r="X297" s="32"/>
      <c r="Y297" s="32"/>
      <c r="Z297" s="32"/>
    </row>
    <row r="298" spans="1:26" ht="12.75">
      <c r="A298" s="39" t="s">
        <v>424</v>
      </c>
      <c r="B298" s="39" t="s">
        <v>425</v>
      </c>
      <c r="C298" s="22" t="s">
        <v>44</v>
      </c>
      <c r="D298" s="39" t="s">
        <v>34</v>
      </c>
      <c r="E298" s="21" t="s">
        <v>35</v>
      </c>
      <c r="F298" s="39" t="s">
        <v>36</v>
      </c>
      <c r="G298" s="26">
        <v>11.9818</v>
      </c>
      <c r="H298" s="26">
        <f t="shared" si="27"/>
        <v>1.078522066078808</v>
      </c>
      <c r="I298" s="26">
        <v>1.6557</v>
      </c>
      <c r="J298" s="26">
        <f t="shared" si="25"/>
        <v>0.45830640349458646</v>
      </c>
      <c r="K298" s="26">
        <f t="shared" si="26"/>
        <v>52.36979026287226</v>
      </c>
      <c r="L298" s="59">
        <f t="shared" si="24"/>
        <v>3.3166247903554</v>
      </c>
      <c r="M298" s="43">
        <v>11</v>
      </c>
      <c r="N298" s="39" t="s">
        <v>55</v>
      </c>
      <c r="O298" s="60"/>
      <c r="P298" s="39" t="s">
        <v>431</v>
      </c>
      <c r="Q298" s="43"/>
      <c r="R298" s="39" t="s">
        <v>432</v>
      </c>
      <c r="S298" s="39"/>
      <c r="T298" s="32"/>
      <c r="U298" s="32"/>
      <c r="V298" s="32"/>
      <c r="W298" s="32"/>
      <c r="X298" s="32"/>
      <c r="Y298" s="32"/>
      <c r="Z298" s="32"/>
    </row>
    <row r="299" spans="1:26" ht="12.75">
      <c r="A299" s="39" t="s">
        <v>424</v>
      </c>
      <c r="B299" s="39" t="s">
        <v>425</v>
      </c>
      <c r="C299" s="22" t="s">
        <v>44</v>
      </c>
      <c r="D299" s="39" t="s">
        <v>227</v>
      </c>
      <c r="E299" s="21" t="s">
        <v>39</v>
      </c>
      <c r="F299" s="39" t="s">
        <v>40</v>
      </c>
      <c r="G299" s="26">
        <v>2.1</v>
      </c>
      <c r="H299" s="26">
        <f t="shared" si="27"/>
        <v>0.3222192947339193</v>
      </c>
      <c r="I299" s="26">
        <v>0.1775</v>
      </c>
      <c r="J299" s="26">
        <f t="shared" si="25"/>
        <v>0.33809523809523806</v>
      </c>
      <c r="K299" s="26">
        <f t="shared" si="26"/>
        <v>139.97222773259276</v>
      </c>
      <c r="L299" s="59">
        <f t="shared" si="24"/>
        <v>4</v>
      </c>
      <c r="M299" s="43">
        <v>16</v>
      </c>
      <c r="N299" s="39" t="s">
        <v>436</v>
      </c>
      <c r="O299" s="60">
        <v>6.193125</v>
      </c>
      <c r="P299" s="39" t="s">
        <v>428</v>
      </c>
      <c r="Q299" s="43" t="s">
        <v>51</v>
      </c>
      <c r="R299" s="39" t="s">
        <v>429</v>
      </c>
      <c r="S299" s="39"/>
      <c r="T299" s="32"/>
      <c r="U299" s="32"/>
      <c r="V299" s="32"/>
      <c r="W299" s="32"/>
      <c r="X299" s="32"/>
      <c r="Y299" s="32"/>
      <c r="Z299" s="32"/>
    </row>
    <row r="300" spans="1:26" ht="12.75">
      <c r="A300" s="39" t="s">
        <v>424</v>
      </c>
      <c r="B300" s="39" t="s">
        <v>425</v>
      </c>
      <c r="C300" s="22" t="s">
        <v>44</v>
      </c>
      <c r="D300" s="39" t="s">
        <v>437</v>
      </c>
      <c r="E300" s="21" t="s">
        <v>39</v>
      </c>
      <c r="F300" s="39" t="s">
        <v>40</v>
      </c>
      <c r="G300" s="26">
        <v>2.3418</v>
      </c>
      <c r="H300" s="26">
        <f t="shared" si="27"/>
        <v>0.3695498016648923</v>
      </c>
      <c r="I300" s="26">
        <v>0.22739160527328262</v>
      </c>
      <c r="J300" s="26">
        <f t="shared" si="25"/>
        <v>0.3220482684977704</v>
      </c>
      <c r="K300" s="26">
        <f t="shared" si="26"/>
        <v>106.0597864059048</v>
      </c>
      <c r="L300" s="59">
        <f t="shared" si="24"/>
        <v>3.3166247903554</v>
      </c>
      <c r="M300" s="43">
        <v>11</v>
      </c>
      <c r="N300" s="39" t="s">
        <v>55</v>
      </c>
      <c r="O300" s="60"/>
      <c r="P300" s="39" t="s">
        <v>431</v>
      </c>
      <c r="Q300" s="43"/>
      <c r="R300" s="39" t="s">
        <v>432</v>
      </c>
      <c r="S300" s="39"/>
      <c r="T300" s="32"/>
      <c r="U300" s="32"/>
      <c r="V300" s="32"/>
      <c r="W300" s="32"/>
      <c r="X300" s="32"/>
      <c r="Y300" s="32"/>
      <c r="Z300" s="32"/>
    </row>
    <row r="301" spans="1:27" ht="12.75">
      <c r="A301" s="21" t="s">
        <v>438</v>
      </c>
      <c r="B301" s="22" t="s">
        <v>48</v>
      </c>
      <c r="C301" s="22" t="s">
        <v>48</v>
      </c>
      <c r="D301" s="21" t="s">
        <v>21</v>
      </c>
      <c r="E301" s="21" t="s">
        <v>21</v>
      </c>
      <c r="F301" s="23" t="s">
        <v>22</v>
      </c>
      <c r="G301" s="29">
        <v>3</v>
      </c>
      <c r="H301" s="25">
        <f t="shared" si="27"/>
        <v>0.47712125471966244</v>
      </c>
      <c r="I301" s="29">
        <v>0.375</v>
      </c>
      <c r="J301" s="26">
        <f t="shared" si="25"/>
        <v>0.5</v>
      </c>
      <c r="K301" s="24">
        <f t="shared" si="26"/>
        <v>64</v>
      </c>
      <c r="L301" s="24">
        <f t="shared" si="24"/>
        <v>4</v>
      </c>
      <c r="M301" s="38">
        <v>16</v>
      </c>
      <c r="N301" s="36" t="s">
        <v>150</v>
      </c>
      <c r="O301" s="29"/>
      <c r="P301" s="23" t="s">
        <v>151</v>
      </c>
      <c r="U301" s="32" t="s">
        <v>26</v>
      </c>
      <c r="V301" s="23" t="s">
        <v>438</v>
      </c>
      <c r="W301" s="23"/>
      <c r="AA301" s="31"/>
    </row>
    <row r="302" spans="1:27" ht="12.75">
      <c r="A302" s="21" t="s">
        <v>438</v>
      </c>
      <c r="B302" s="22" t="s">
        <v>48</v>
      </c>
      <c r="C302" s="22" t="s">
        <v>48</v>
      </c>
      <c r="D302" s="21" t="s">
        <v>21</v>
      </c>
      <c r="E302" s="21" t="s">
        <v>21</v>
      </c>
      <c r="F302" s="23" t="s">
        <v>22</v>
      </c>
      <c r="G302" s="29">
        <v>2.8</v>
      </c>
      <c r="H302" s="25">
        <f t="shared" si="27"/>
        <v>0.4471580313422192</v>
      </c>
      <c r="I302" s="29">
        <v>0.20851441405707474</v>
      </c>
      <c r="J302" s="26">
        <f t="shared" si="25"/>
        <v>0.3571428571428571</v>
      </c>
      <c r="K302" s="24">
        <f t="shared" si="26"/>
        <v>180.32000000000002</v>
      </c>
      <c r="L302" s="24">
        <f t="shared" si="24"/>
        <v>4.795831523312719</v>
      </c>
      <c r="M302" s="38">
        <v>23</v>
      </c>
      <c r="N302" s="36" t="s">
        <v>152</v>
      </c>
      <c r="O302" s="29"/>
      <c r="P302" s="23" t="s">
        <v>151</v>
      </c>
      <c r="U302" s="32" t="s">
        <v>26</v>
      </c>
      <c r="V302" s="23" t="s">
        <v>438</v>
      </c>
      <c r="W302" s="23"/>
      <c r="AA302" s="31"/>
    </row>
    <row r="303" spans="1:27" ht="12.75">
      <c r="A303" s="21" t="s">
        <v>438</v>
      </c>
      <c r="B303" s="22" t="s">
        <v>48</v>
      </c>
      <c r="C303" s="22" t="s">
        <v>48</v>
      </c>
      <c r="D303" s="21" t="s">
        <v>21</v>
      </c>
      <c r="E303" s="21" t="s">
        <v>21</v>
      </c>
      <c r="F303" s="23" t="s">
        <v>22</v>
      </c>
      <c r="G303" s="29">
        <v>1.9</v>
      </c>
      <c r="H303" s="25">
        <f t="shared" si="27"/>
        <v>0.2787536009528289</v>
      </c>
      <c r="I303" s="29">
        <v>0.11547005383792515</v>
      </c>
      <c r="J303" s="26">
        <f t="shared" si="25"/>
        <v>0.21052631578947367</v>
      </c>
      <c r="K303" s="24">
        <f t="shared" si="26"/>
        <v>270.75</v>
      </c>
      <c r="L303" s="24">
        <f t="shared" si="24"/>
        <v>3.4641016151377544</v>
      </c>
      <c r="M303" s="38">
        <v>12</v>
      </c>
      <c r="N303" s="36" t="s">
        <v>153</v>
      </c>
      <c r="O303" s="29"/>
      <c r="P303" s="23" t="s">
        <v>151</v>
      </c>
      <c r="U303" s="32" t="s">
        <v>26</v>
      </c>
      <c r="V303" s="23" t="s">
        <v>438</v>
      </c>
      <c r="W303" s="23"/>
      <c r="AA303" s="31"/>
    </row>
    <row r="304" spans="1:27" ht="12.75">
      <c r="A304" s="21" t="s">
        <v>438</v>
      </c>
      <c r="B304" s="22" t="s">
        <v>48</v>
      </c>
      <c r="C304" s="22" t="s">
        <v>48</v>
      </c>
      <c r="D304" s="21" t="s">
        <v>34</v>
      </c>
      <c r="E304" s="21" t="s">
        <v>35</v>
      </c>
      <c r="F304" s="23" t="s">
        <v>36</v>
      </c>
      <c r="G304" s="35">
        <v>1.1</v>
      </c>
      <c r="H304" s="25">
        <f t="shared" si="27"/>
        <v>0.04139268515822508</v>
      </c>
      <c r="I304" s="47">
        <v>0.1</v>
      </c>
      <c r="J304" s="26">
        <f t="shared" si="25"/>
        <v>0.36363636363636365</v>
      </c>
      <c r="K304" s="24">
        <f t="shared" si="26"/>
        <v>121</v>
      </c>
      <c r="L304" s="24">
        <f t="shared" si="24"/>
        <v>4</v>
      </c>
      <c r="M304" s="33">
        <v>16</v>
      </c>
      <c r="N304" s="36" t="s">
        <v>150</v>
      </c>
      <c r="O304" s="29"/>
      <c r="P304" s="23" t="s">
        <v>151</v>
      </c>
      <c r="U304" s="32" t="s">
        <v>26</v>
      </c>
      <c r="V304" s="23" t="s">
        <v>438</v>
      </c>
      <c r="W304" s="23"/>
      <c r="AA304" s="31"/>
    </row>
    <row r="305" spans="1:27" ht="12.75">
      <c r="A305" s="21" t="s">
        <v>438</v>
      </c>
      <c r="B305" s="22" t="s">
        <v>48</v>
      </c>
      <c r="C305" s="22" t="s">
        <v>48</v>
      </c>
      <c r="D305" s="21" t="s">
        <v>34</v>
      </c>
      <c r="E305" s="21" t="s">
        <v>35</v>
      </c>
      <c r="F305" s="23" t="s">
        <v>36</v>
      </c>
      <c r="G305" s="35">
        <v>0.9</v>
      </c>
      <c r="H305" s="25">
        <f t="shared" si="27"/>
        <v>-0.045757490560675115</v>
      </c>
      <c r="I305" s="47">
        <v>0.04170288281141495</v>
      </c>
      <c r="J305" s="26">
        <f t="shared" si="25"/>
        <v>0.2222222222222222</v>
      </c>
      <c r="K305" s="24">
        <f t="shared" si="26"/>
        <v>465.74999999999994</v>
      </c>
      <c r="L305" s="24">
        <f t="shared" si="24"/>
        <v>4.795831523312719</v>
      </c>
      <c r="M305" s="33">
        <v>23</v>
      </c>
      <c r="N305" s="36" t="s">
        <v>152</v>
      </c>
      <c r="O305" s="29"/>
      <c r="P305" s="23" t="s">
        <v>151</v>
      </c>
      <c r="U305" s="32" t="s">
        <v>26</v>
      </c>
      <c r="V305" s="23" t="s">
        <v>438</v>
      </c>
      <c r="W305" s="23"/>
      <c r="AA305" s="31"/>
    </row>
    <row r="306" spans="1:27" ht="12.75">
      <c r="A306" s="21" t="s">
        <v>438</v>
      </c>
      <c r="B306" s="22" t="s">
        <v>48</v>
      </c>
      <c r="C306" s="22" t="s">
        <v>48</v>
      </c>
      <c r="D306" s="21" t="s">
        <v>34</v>
      </c>
      <c r="E306" s="21" t="s">
        <v>35</v>
      </c>
      <c r="F306" s="23" t="s">
        <v>36</v>
      </c>
      <c r="G306" s="35">
        <v>1.2</v>
      </c>
      <c r="H306" s="25">
        <f t="shared" si="27"/>
        <v>0.07918124604762482</v>
      </c>
      <c r="I306" s="47">
        <v>0.08660254037844385</v>
      </c>
      <c r="J306" s="26">
        <f t="shared" si="25"/>
        <v>0.24999999999999994</v>
      </c>
      <c r="K306" s="24">
        <f t="shared" si="26"/>
        <v>192.00000000000003</v>
      </c>
      <c r="L306" s="24">
        <f t="shared" si="24"/>
        <v>3.4641016151377544</v>
      </c>
      <c r="M306" s="33">
        <v>12</v>
      </c>
      <c r="N306" s="36" t="s">
        <v>153</v>
      </c>
      <c r="O306" s="29"/>
      <c r="P306" s="23" t="s">
        <v>151</v>
      </c>
      <c r="U306" s="32" t="s">
        <v>26</v>
      </c>
      <c r="V306" s="23" t="s">
        <v>438</v>
      </c>
      <c r="W306" s="23"/>
      <c r="AA306" s="31"/>
    </row>
    <row r="307" spans="1:27" ht="12.75">
      <c r="A307" s="21" t="s">
        <v>438</v>
      </c>
      <c r="B307" s="22" t="s">
        <v>48</v>
      </c>
      <c r="C307" s="22" t="s">
        <v>48</v>
      </c>
      <c r="D307" s="21" t="s">
        <v>39</v>
      </c>
      <c r="E307" s="21" t="s">
        <v>39</v>
      </c>
      <c r="F307" s="23" t="s">
        <v>40</v>
      </c>
      <c r="G307" s="24">
        <v>0.25</v>
      </c>
      <c r="H307" s="25">
        <f t="shared" si="27"/>
        <v>-0.6020599913279624</v>
      </c>
      <c r="I307" s="24">
        <v>0.0275</v>
      </c>
      <c r="J307" s="26">
        <f t="shared" si="25"/>
        <v>0.44</v>
      </c>
      <c r="K307" s="24">
        <f t="shared" si="26"/>
        <v>82.64462809917357</v>
      </c>
      <c r="L307" s="24">
        <f t="shared" si="24"/>
        <v>4</v>
      </c>
      <c r="M307" s="27">
        <v>16</v>
      </c>
      <c r="N307" s="36" t="s">
        <v>150</v>
      </c>
      <c r="O307" s="29"/>
      <c r="P307" s="23" t="s">
        <v>151</v>
      </c>
      <c r="U307" s="32" t="s">
        <v>26</v>
      </c>
      <c r="V307" s="23" t="s">
        <v>438</v>
      </c>
      <c r="W307" s="23"/>
      <c r="AA307" s="31"/>
    </row>
    <row r="308" spans="1:27" ht="12.75">
      <c r="A308" s="21" t="s">
        <v>438</v>
      </c>
      <c r="B308" s="22" t="s">
        <v>48</v>
      </c>
      <c r="C308" s="22" t="s">
        <v>48</v>
      </c>
      <c r="D308" s="21" t="s">
        <v>39</v>
      </c>
      <c r="E308" s="21" t="s">
        <v>39</v>
      </c>
      <c r="F308" s="23" t="s">
        <v>40</v>
      </c>
      <c r="G308" s="24">
        <v>0.21</v>
      </c>
      <c r="H308" s="25">
        <f t="shared" si="27"/>
        <v>-0.6777807052660807</v>
      </c>
      <c r="I308" s="24">
        <v>0.014596008983995233</v>
      </c>
      <c r="J308" s="26">
        <f t="shared" si="25"/>
        <v>0.3333333333333333</v>
      </c>
      <c r="K308" s="24">
        <f t="shared" si="26"/>
        <v>207</v>
      </c>
      <c r="L308" s="24">
        <f t="shared" si="24"/>
        <v>4.795831523312719</v>
      </c>
      <c r="M308" s="27">
        <v>23</v>
      </c>
      <c r="N308" s="36" t="s">
        <v>152</v>
      </c>
      <c r="O308" s="29"/>
      <c r="P308" s="23" t="s">
        <v>151</v>
      </c>
      <c r="U308" s="32" t="s">
        <v>26</v>
      </c>
      <c r="V308" s="23" t="s">
        <v>438</v>
      </c>
      <c r="W308" s="23"/>
      <c r="AA308" s="31"/>
    </row>
    <row r="309" spans="1:27" ht="12.75">
      <c r="A309" s="21" t="s">
        <v>438</v>
      </c>
      <c r="B309" s="22" t="s">
        <v>48</v>
      </c>
      <c r="C309" s="22" t="s">
        <v>48</v>
      </c>
      <c r="D309" s="21" t="s">
        <v>39</v>
      </c>
      <c r="E309" s="21" t="s">
        <v>39</v>
      </c>
      <c r="F309" s="23" t="s">
        <v>40</v>
      </c>
      <c r="G309" s="24">
        <v>0.17</v>
      </c>
      <c r="H309" s="25">
        <f t="shared" si="27"/>
        <v>-0.769551078621726</v>
      </c>
      <c r="I309" s="24">
        <v>0.011547005383792514</v>
      </c>
      <c r="J309" s="26">
        <f t="shared" si="25"/>
        <v>0.23529411764705876</v>
      </c>
      <c r="K309" s="24">
        <f t="shared" si="26"/>
        <v>216.75000000000006</v>
      </c>
      <c r="L309" s="24">
        <f t="shared" si="24"/>
        <v>3.4641016151377544</v>
      </c>
      <c r="M309" s="27">
        <v>12</v>
      </c>
      <c r="N309" s="36" t="s">
        <v>153</v>
      </c>
      <c r="O309" s="29"/>
      <c r="P309" s="23" t="s">
        <v>151</v>
      </c>
      <c r="U309" s="32" t="s">
        <v>26</v>
      </c>
      <c r="V309" s="23" t="s">
        <v>438</v>
      </c>
      <c r="W309" s="23"/>
      <c r="AA309" s="31"/>
    </row>
    <row r="310" spans="1:27" ht="12.75">
      <c r="A310" s="21" t="s">
        <v>439</v>
      </c>
      <c r="B310" s="22" t="s">
        <v>48</v>
      </c>
      <c r="C310" s="22" t="s">
        <v>48</v>
      </c>
      <c r="D310" s="21" t="s">
        <v>101</v>
      </c>
      <c r="E310" s="21" t="s">
        <v>101</v>
      </c>
      <c r="F310" s="63" t="s">
        <v>188</v>
      </c>
      <c r="G310" s="24">
        <v>10.616130952380953</v>
      </c>
      <c r="H310" s="25">
        <f t="shared" si="27"/>
        <v>1.0259662670102672</v>
      </c>
      <c r="I310" s="24">
        <v>0.7788729006218729</v>
      </c>
      <c r="J310" s="26">
        <f t="shared" si="25"/>
        <v>0.19411064230616265</v>
      </c>
      <c r="K310" s="24">
        <f t="shared" si="26"/>
        <v>185.78016603994544</v>
      </c>
      <c r="L310" s="24">
        <f t="shared" si="24"/>
        <v>2.6457513110645907</v>
      </c>
      <c r="M310" s="27">
        <v>7</v>
      </c>
      <c r="N310" s="28" t="s">
        <v>440</v>
      </c>
      <c r="O310" s="29">
        <v>12</v>
      </c>
      <c r="P310" s="23" t="s">
        <v>441</v>
      </c>
      <c r="U310" s="32" t="s">
        <v>26</v>
      </c>
      <c r="V310" s="23" t="s">
        <v>439</v>
      </c>
      <c r="W310" s="23"/>
      <c r="AA310" s="31"/>
    </row>
    <row r="311" spans="1:27" ht="12.75">
      <c r="A311" s="21" t="s">
        <v>439</v>
      </c>
      <c r="B311" s="22" t="s">
        <v>48</v>
      </c>
      <c r="C311" s="22" t="s">
        <v>48</v>
      </c>
      <c r="D311" s="21" t="s">
        <v>101</v>
      </c>
      <c r="E311" s="21" t="s">
        <v>101</v>
      </c>
      <c r="F311" s="63" t="s">
        <v>188</v>
      </c>
      <c r="G311" s="29">
        <v>15.511787037037038</v>
      </c>
      <c r="H311" s="25">
        <f t="shared" si="27"/>
        <v>1.1906618336367556</v>
      </c>
      <c r="I311" s="29">
        <v>1.1008181270425375</v>
      </c>
      <c r="J311" s="26">
        <f t="shared" si="25"/>
        <v>0.21289967256786332</v>
      </c>
      <c r="K311" s="24">
        <f t="shared" si="26"/>
        <v>198.5603466804924</v>
      </c>
      <c r="L311" s="24">
        <f t="shared" si="24"/>
        <v>3</v>
      </c>
      <c r="M311" s="27">
        <v>9</v>
      </c>
      <c r="N311" s="28" t="s">
        <v>308</v>
      </c>
      <c r="O311" s="29"/>
      <c r="P311" s="23" t="s">
        <v>442</v>
      </c>
      <c r="U311" s="32" t="s">
        <v>32</v>
      </c>
      <c r="V311" s="23" t="s">
        <v>439</v>
      </c>
      <c r="W311" s="23"/>
      <c r="AA311" s="31"/>
    </row>
    <row r="312" spans="1:27" ht="12.75">
      <c r="A312" s="21" t="s">
        <v>439</v>
      </c>
      <c r="B312" s="22" t="s">
        <v>48</v>
      </c>
      <c r="C312" s="22" t="s">
        <v>48</v>
      </c>
      <c r="D312" s="21" t="s">
        <v>34</v>
      </c>
      <c r="E312" s="21" t="s">
        <v>35</v>
      </c>
      <c r="F312" s="23" t="s">
        <v>225</v>
      </c>
      <c r="G312" s="24">
        <v>2.349285714285714</v>
      </c>
      <c r="H312" s="25">
        <f t="shared" si="27"/>
        <v>0.37093583780441663</v>
      </c>
      <c r="I312" s="24">
        <v>0.10838878748145829</v>
      </c>
      <c r="J312" s="26">
        <f t="shared" si="25"/>
        <v>0.12206679453246501</v>
      </c>
      <c r="K312" s="24">
        <f t="shared" si="26"/>
        <v>469.7891254939976</v>
      </c>
      <c r="L312" s="24">
        <f t="shared" si="24"/>
        <v>2.6457513110645907</v>
      </c>
      <c r="M312" s="27">
        <v>7</v>
      </c>
      <c r="N312" s="28" t="s">
        <v>440</v>
      </c>
      <c r="O312" s="29">
        <v>12</v>
      </c>
      <c r="P312" s="23" t="s">
        <v>441</v>
      </c>
      <c r="U312" s="32" t="s">
        <v>26</v>
      </c>
      <c r="V312" s="23" t="s">
        <v>439</v>
      </c>
      <c r="W312" s="23"/>
      <c r="AA312" s="31"/>
    </row>
    <row r="313" spans="1:27" ht="12.75">
      <c r="A313" s="21" t="s">
        <v>439</v>
      </c>
      <c r="B313" s="22" t="s">
        <v>48</v>
      </c>
      <c r="C313" s="22" t="s">
        <v>48</v>
      </c>
      <c r="D313" s="21" t="s">
        <v>34</v>
      </c>
      <c r="E313" s="21" t="s">
        <v>35</v>
      </c>
      <c r="F313" s="23" t="s">
        <v>225</v>
      </c>
      <c r="G313" s="24">
        <v>2.087871494422307</v>
      </c>
      <c r="H313" s="25">
        <f t="shared" si="27"/>
        <v>0.31970376493331754</v>
      </c>
      <c r="I313" s="24">
        <v>0.11688509793757366</v>
      </c>
      <c r="J313" s="26">
        <f t="shared" si="25"/>
        <v>0.1679486954774215</v>
      </c>
      <c r="K313" s="24">
        <f t="shared" si="26"/>
        <v>319.07240051599973</v>
      </c>
      <c r="L313" s="24">
        <f t="shared" si="24"/>
        <v>3</v>
      </c>
      <c r="M313" s="27">
        <v>9</v>
      </c>
      <c r="N313" s="28" t="s">
        <v>308</v>
      </c>
      <c r="O313" s="29"/>
      <c r="P313" s="23" t="s">
        <v>442</v>
      </c>
      <c r="U313" s="32" t="s">
        <v>32</v>
      </c>
      <c r="V313" s="23" t="s">
        <v>439</v>
      </c>
      <c r="W313" s="23"/>
      <c r="AA313" s="31"/>
    </row>
    <row r="314" spans="1:27" ht="12.75">
      <c r="A314" s="21" t="s">
        <v>439</v>
      </c>
      <c r="B314" s="22" t="s">
        <v>48</v>
      </c>
      <c r="C314" s="22" t="s">
        <v>48</v>
      </c>
      <c r="D314" s="21" t="s">
        <v>39</v>
      </c>
      <c r="E314" s="21" t="s">
        <v>39</v>
      </c>
      <c r="F314" s="23" t="s">
        <v>40</v>
      </c>
      <c r="G314" s="24">
        <v>0.445</v>
      </c>
      <c r="H314" s="25">
        <f t="shared" si="27"/>
        <v>-0.3516399890190684</v>
      </c>
      <c r="I314" s="24">
        <v>0.03101458950082633</v>
      </c>
      <c r="J314" s="26">
        <f t="shared" si="25"/>
        <v>0.18439750749200304</v>
      </c>
      <c r="K314" s="24">
        <f t="shared" si="26"/>
        <v>205.86757425742468</v>
      </c>
      <c r="L314" s="24">
        <f t="shared" si="24"/>
        <v>2.6457513110645907</v>
      </c>
      <c r="M314" s="27">
        <v>7</v>
      </c>
      <c r="N314" s="28" t="s">
        <v>440</v>
      </c>
      <c r="O314" s="29">
        <v>12</v>
      </c>
      <c r="P314" s="23" t="s">
        <v>441</v>
      </c>
      <c r="U314" s="32" t="s">
        <v>26</v>
      </c>
      <c r="V314" s="23" t="s">
        <v>439</v>
      </c>
      <c r="W314" s="23"/>
      <c r="AA314" s="31"/>
    </row>
    <row r="315" spans="1:27" ht="12.75">
      <c r="A315" s="21" t="s">
        <v>439</v>
      </c>
      <c r="B315" s="22" t="s">
        <v>48</v>
      </c>
      <c r="C315" s="22" t="s">
        <v>48</v>
      </c>
      <c r="D315" s="21" t="s">
        <v>39</v>
      </c>
      <c r="E315" s="21" t="s">
        <v>39</v>
      </c>
      <c r="F315" s="23" t="s">
        <v>40</v>
      </c>
      <c r="G315" s="24">
        <v>0.19980628744425763</v>
      </c>
      <c r="H315" s="25">
        <f t="shared" si="27"/>
        <v>-0.699390849646658</v>
      </c>
      <c r="I315" s="24">
        <v>0.01100886679551257</v>
      </c>
      <c r="J315" s="26">
        <f t="shared" si="25"/>
        <v>0.1652930986756437</v>
      </c>
      <c r="K315" s="24">
        <f t="shared" si="26"/>
        <v>329.40718437249075</v>
      </c>
      <c r="L315" s="24">
        <f t="shared" si="24"/>
        <v>3</v>
      </c>
      <c r="M315" s="27">
        <v>9</v>
      </c>
      <c r="N315" s="28" t="s">
        <v>308</v>
      </c>
      <c r="O315" s="29"/>
      <c r="P315" s="23" t="s">
        <v>442</v>
      </c>
      <c r="U315" s="32" t="s">
        <v>32</v>
      </c>
      <c r="V315" s="23" t="s">
        <v>439</v>
      </c>
      <c r="W315" s="23"/>
      <c r="AA315" s="31"/>
    </row>
    <row r="316" spans="1:27" ht="12.75">
      <c r="A316" s="21" t="s">
        <v>443</v>
      </c>
      <c r="B316" s="22" t="s">
        <v>444</v>
      </c>
      <c r="C316" s="22" t="s">
        <v>44</v>
      </c>
      <c r="D316" s="21" t="s">
        <v>34</v>
      </c>
      <c r="E316" s="21" t="s">
        <v>35</v>
      </c>
      <c r="F316" s="23" t="s">
        <v>36</v>
      </c>
      <c r="G316" s="29">
        <v>21.02131806669116</v>
      </c>
      <c r="H316" s="25">
        <f t="shared" si="27"/>
        <v>1.322659943430773</v>
      </c>
      <c r="I316" s="29">
        <v>5.943971129964866</v>
      </c>
      <c r="J316" s="26">
        <f t="shared" si="25"/>
        <v>0.894163108961147</v>
      </c>
      <c r="K316" s="24">
        <f t="shared" si="26"/>
        <v>12.50738458769722</v>
      </c>
      <c r="L316" s="24">
        <f t="shared" si="24"/>
        <v>3.1622776601683795</v>
      </c>
      <c r="M316" s="27">
        <v>10</v>
      </c>
      <c r="N316" s="28" t="s">
        <v>27</v>
      </c>
      <c r="O316" s="29" t="s">
        <v>275</v>
      </c>
      <c r="P316" s="23" t="s">
        <v>445</v>
      </c>
      <c r="U316" s="32" t="s">
        <v>51</v>
      </c>
      <c r="V316" s="23"/>
      <c r="W316" s="23"/>
      <c r="AA316" s="31"/>
    </row>
    <row r="317" spans="1:27" s="32" customFormat="1" ht="12.75">
      <c r="A317" s="21" t="s">
        <v>443</v>
      </c>
      <c r="B317" s="22" t="s">
        <v>444</v>
      </c>
      <c r="C317" s="22" t="s">
        <v>44</v>
      </c>
      <c r="D317" s="21" t="s">
        <v>34</v>
      </c>
      <c r="E317" s="21" t="s">
        <v>35</v>
      </c>
      <c r="F317" s="23" t="s">
        <v>36</v>
      </c>
      <c r="G317" s="29">
        <v>6.202777777777778</v>
      </c>
      <c r="H317" s="25">
        <f t="shared" si="27"/>
        <v>0.7925862223041508</v>
      </c>
      <c r="I317" s="29">
        <v>0.4684572130876277</v>
      </c>
      <c r="J317" s="26">
        <f t="shared" si="25"/>
        <v>0.22657133458783604</v>
      </c>
      <c r="K317" s="24">
        <f t="shared" si="26"/>
        <v>175.32045286733955</v>
      </c>
      <c r="L317" s="24">
        <f t="shared" si="24"/>
        <v>3</v>
      </c>
      <c r="M317" s="27">
        <v>9</v>
      </c>
      <c r="N317" s="28" t="s">
        <v>46</v>
      </c>
      <c r="O317" s="29"/>
      <c r="P317" s="23" t="s">
        <v>445</v>
      </c>
      <c r="Q317" s="30"/>
      <c r="R317" s="31"/>
      <c r="S317" s="31"/>
      <c r="T317" s="31"/>
      <c r="U317" s="32" t="s">
        <v>51</v>
      </c>
      <c r="V317" s="23"/>
      <c r="W317" s="23"/>
      <c r="X317" s="31"/>
      <c r="Y317" s="31"/>
      <c r="Z317" s="31"/>
      <c r="AA317" s="31"/>
    </row>
    <row r="318" spans="1:27" s="32" customFormat="1" ht="12.75">
      <c r="A318" s="21" t="s">
        <v>446</v>
      </c>
      <c r="B318" s="22" t="s">
        <v>19</v>
      </c>
      <c r="C318" s="22" t="s">
        <v>20</v>
      </c>
      <c r="D318" s="21" t="s">
        <v>34</v>
      </c>
      <c r="E318" s="21" t="s">
        <v>35</v>
      </c>
      <c r="F318" s="23" t="s">
        <v>36</v>
      </c>
      <c r="G318" s="24">
        <v>3.5481481481481483</v>
      </c>
      <c r="H318" s="25">
        <f t="shared" si="27"/>
        <v>0.5500017449195571</v>
      </c>
      <c r="I318" s="24">
        <v>0.8015438635269754</v>
      </c>
      <c r="J318" s="26">
        <f t="shared" si="25"/>
        <v>0.6777145401428497</v>
      </c>
      <c r="K318" s="24">
        <f t="shared" si="26"/>
        <v>19.59516400224185</v>
      </c>
      <c r="L318" s="24">
        <f t="shared" si="24"/>
        <v>3</v>
      </c>
      <c r="M318" s="27">
        <v>9</v>
      </c>
      <c r="N318" s="28" t="s">
        <v>447</v>
      </c>
      <c r="O318" s="29">
        <v>8.11111111111111</v>
      </c>
      <c r="P318" s="23" t="s">
        <v>448</v>
      </c>
      <c r="Q318" s="30"/>
      <c r="R318" s="31"/>
      <c r="S318" s="31"/>
      <c r="T318" s="31"/>
      <c r="U318" s="32" t="s">
        <v>51</v>
      </c>
      <c r="V318" s="23"/>
      <c r="W318" s="23"/>
      <c r="X318" s="31"/>
      <c r="Y318" s="31"/>
      <c r="Z318" s="31"/>
      <c r="AA318" s="31"/>
    </row>
    <row r="319" spans="1:27" s="32" customFormat="1" ht="12.75">
      <c r="A319" s="21" t="s">
        <v>446</v>
      </c>
      <c r="B319" s="22" t="s">
        <v>19</v>
      </c>
      <c r="C319" s="22" t="s">
        <v>20</v>
      </c>
      <c r="D319" s="21" t="s">
        <v>34</v>
      </c>
      <c r="E319" s="21" t="s">
        <v>35</v>
      </c>
      <c r="F319" s="23" t="s">
        <v>36</v>
      </c>
      <c r="G319" s="24">
        <v>2.55</v>
      </c>
      <c r="H319" s="25">
        <f t="shared" si="27"/>
        <v>0.4065401804339551</v>
      </c>
      <c r="I319" s="24">
        <v>0.2367940636321534</v>
      </c>
      <c r="J319" s="26">
        <f t="shared" si="25"/>
        <v>0.2626489225710032</v>
      </c>
      <c r="K319" s="24">
        <f t="shared" si="26"/>
        <v>115.96815286624253</v>
      </c>
      <c r="L319" s="24">
        <f t="shared" si="24"/>
        <v>2.8284271247461903</v>
      </c>
      <c r="M319" s="27">
        <v>8</v>
      </c>
      <c r="N319" s="28" t="s">
        <v>46</v>
      </c>
      <c r="O319" s="29"/>
      <c r="P319" s="23" t="s">
        <v>449</v>
      </c>
      <c r="Q319" s="30"/>
      <c r="R319" s="31"/>
      <c r="S319" s="31"/>
      <c r="T319" s="31"/>
      <c r="U319" s="32" t="s">
        <v>32</v>
      </c>
      <c r="V319" s="23" t="s">
        <v>446</v>
      </c>
      <c r="W319" s="23"/>
      <c r="X319" s="31"/>
      <c r="Y319" s="31"/>
      <c r="Z319" s="31"/>
      <c r="AA319" s="31"/>
    </row>
    <row r="320" spans="1:26" ht="12.75">
      <c r="A320" s="39" t="s">
        <v>450</v>
      </c>
      <c r="B320" s="39" t="s">
        <v>451</v>
      </c>
      <c r="C320" s="22" t="s">
        <v>269</v>
      </c>
      <c r="D320" s="39" t="s">
        <v>141</v>
      </c>
      <c r="E320" s="21" t="s">
        <v>35</v>
      </c>
      <c r="F320" s="39" t="s">
        <v>36</v>
      </c>
      <c r="G320" s="26">
        <f>'[3]Trichloroethanol'!$B$33</f>
        <v>39.82</v>
      </c>
      <c r="H320" s="26">
        <f t="shared" si="27"/>
        <v>1.6001012556913907</v>
      </c>
      <c r="I320" s="26">
        <v>4.512570221060277</v>
      </c>
      <c r="J320" s="26">
        <f t="shared" si="25"/>
        <v>0.3583626318432948</v>
      </c>
      <c r="K320" s="26">
        <f t="shared" si="26"/>
        <v>77.86720122337796</v>
      </c>
      <c r="L320" s="59">
        <f t="shared" si="24"/>
        <v>3.1622776601683795</v>
      </c>
      <c r="M320" s="43">
        <v>10</v>
      </c>
      <c r="N320" s="39" t="s">
        <v>452</v>
      </c>
      <c r="O320" s="60"/>
      <c r="P320" s="39" t="s">
        <v>131</v>
      </c>
      <c r="Q320" s="43"/>
      <c r="R320" s="39" t="s">
        <v>453</v>
      </c>
      <c r="S320" s="39"/>
      <c r="T320" s="32"/>
      <c r="U320" s="32"/>
      <c r="V320" s="32"/>
      <c r="W320" s="32"/>
      <c r="X320" s="32"/>
      <c r="Y320" s="32"/>
      <c r="Z320" s="32"/>
    </row>
    <row r="321" spans="1:26" ht="12.75">
      <c r="A321" s="39" t="s">
        <v>450</v>
      </c>
      <c r="B321" s="39" t="s">
        <v>451</v>
      </c>
      <c r="C321" s="22" t="s">
        <v>269</v>
      </c>
      <c r="D321" s="39" t="s">
        <v>141</v>
      </c>
      <c r="E321" s="21" t="s">
        <v>35</v>
      </c>
      <c r="F321" s="39" t="s">
        <v>36</v>
      </c>
      <c r="G321" s="26">
        <f>'[3]Trichloroethanol'!$B$53</f>
        <v>27.8</v>
      </c>
      <c r="H321" s="26">
        <f t="shared" si="27"/>
        <v>1.4440447959180762</v>
      </c>
      <c r="I321" s="26">
        <v>8.058202564556725</v>
      </c>
      <c r="J321" s="26">
        <f t="shared" si="25"/>
        <v>0.7669064748201438</v>
      </c>
      <c r="K321" s="26">
        <f t="shared" si="26"/>
        <v>11.901815980203386</v>
      </c>
      <c r="L321" s="59">
        <f t="shared" si="24"/>
        <v>2.6457513110645907</v>
      </c>
      <c r="M321" s="43">
        <v>7</v>
      </c>
      <c r="N321" s="39" t="s">
        <v>433</v>
      </c>
      <c r="O321" s="60"/>
      <c r="P321" s="39" t="s">
        <v>131</v>
      </c>
      <c r="Q321" s="43"/>
      <c r="R321" s="39" t="s">
        <v>453</v>
      </c>
      <c r="S321" s="39"/>
      <c r="T321" s="32"/>
      <c r="U321" s="32"/>
      <c r="V321" s="32"/>
      <c r="W321" s="32"/>
      <c r="X321" s="32"/>
      <c r="Y321" s="32"/>
      <c r="Z321" s="32"/>
    </row>
    <row r="322" spans="1:26" ht="12.75">
      <c r="A322" s="39" t="s">
        <v>450</v>
      </c>
      <c r="B322" s="39" t="s">
        <v>451</v>
      </c>
      <c r="C322" s="22" t="s">
        <v>269</v>
      </c>
      <c r="D322" s="39" t="s">
        <v>454</v>
      </c>
      <c r="E322" s="21" t="s">
        <v>35</v>
      </c>
      <c r="F322" s="39" t="s">
        <v>36</v>
      </c>
      <c r="G322" s="40">
        <v>8</v>
      </c>
      <c r="H322" s="26">
        <f t="shared" si="27"/>
        <v>0.9030899869919435</v>
      </c>
      <c r="I322" s="26" t="s">
        <v>68</v>
      </c>
      <c r="J322" s="26" t="e">
        <f t="shared" si="25"/>
        <v>#VALUE!</v>
      </c>
      <c r="K322" s="26" t="e">
        <f t="shared" si="26"/>
        <v>#VALUE!</v>
      </c>
      <c r="L322" s="59">
        <f t="shared" si="24"/>
        <v>2.23606797749979</v>
      </c>
      <c r="M322" s="43">
        <v>5</v>
      </c>
      <c r="N322" s="39" t="s">
        <v>55</v>
      </c>
      <c r="O322" s="60"/>
      <c r="P322" s="39" t="s">
        <v>455</v>
      </c>
      <c r="Q322" s="43" t="s">
        <v>51</v>
      </c>
      <c r="R322" s="39"/>
      <c r="S322" s="39"/>
      <c r="T322" s="32"/>
      <c r="U322" s="32"/>
      <c r="V322" s="32"/>
      <c r="W322" s="32"/>
      <c r="X322" s="32"/>
      <c r="Y322" s="32"/>
      <c r="Z322" s="32"/>
    </row>
    <row r="323" spans="1:26" ht="12.75">
      <c r="A323" s="39" t="s">
        <v>450</v>
      </c>
      <c r="B323" s="39" t="s">
        <v>451</v>
      </c>
      <c r="C323" s="22" t="s">
        <v>269</v>
      </c>
      <c r="D323" s="39" t="s">
        <v>141</v>
      </c>
      <c r="E323" s="21" t="s">
        <v>35</v>
      </c>
      <c r="F323" s="39" t="s">
        <v>36</v>
      </c>
      <c r="G323" s="40">
        <f>'[3]Trichloroethanol2'!$H$10</f>
        <v>10.2</v>
      </c>
      <c r="H323" s="26">
        <f t="shared" si="27"/>
        <v>1.0086001717619175</v>
      </c>
      <c r="I323" s="40">
        <v>0.6467198620732164</v>
      </c>
      <c r="J323" s="26">
        <f t="shared" si="25"/>
        <v>0.269</v>
      </c>
      <c r="K323" s="26">
        <f t="shared" si="26"/>
        <v>248.75278119428967</v>
      </c>
      <c r="L323" s="59">
        <f t="shared" si="24"/>
        <v>4.242640687119285</v>
      </c>
      <c r="M323" s="43">
        <v>18</v>
      </c>
      <c r="N323" s="39" t="s">
        <v>55</v>
      </c>
      <c r="O323" s="60"/>
      <c r="P323" s="39" t="s">
        <v>140</v>
      </c>
      <c r="Q323" s="43"/>
      <c r="R323" s="39" t="s">
        <v>456</v>
      </c>
      <c r="S323" s="39"/>
      <c r="T323" s="32"/>
      <c r="U323" s="32"/>
      <c r="V323" s="32"/>
      <c r="W323" s="32"/>
      <c r="X323" s="32"/>
      <c r="Y323" s="32"/>
      <c r="Z323" s="32"/>
    </row>
    <row r="324" spans="1:26" ht="12.75">
      <c r="A324" s="39" t="s">
        <v>450</v>
      </c>
      <c r="B324" s="39" t="s">
        <v>451</v>
      </c>
      <c r="C324" s="22" t="s">
        <v>269</v>
      </c>
      <c r="D324" s="39" t="s">
        <v>141</v>
      </c>
      <c r="E324" s="21" t="s">
        <v>35</v>
      </c>
      <c r="F324" s="39" t="s">
        <v>36</v>
      </c>
      <c r="G324" s="40">
        <f>'[3]Trichloroethanol2'!$H$17</f>
        <v>9.3</v>
      </c>
      <c r="H324" s="26">
        <f t="shared" si="27"/>
        <v>0.9684829485539351</v>
      </c>
      <c r="I324" s="40">
        <v>0.35072496346852766</v>
      </c>
      <c r="J324" s="26">
        <f t="shared" si="25"/>
        <v>0.16</v>
      </c>
      <c r="K324" s="26">
        <f t="shared" si="26"/>
        <v>703.1249999999997</v>
      </c>
      <c r="L324" s="59">
        <f t="shared" si="24"/>
        <v>4.242640687119285</v>
      </c>
      <c r="M324" s="43">
        <v>18</v>
      </c>
      <c r="N324" s="39" t="s">
        <v>55</v>
      </c>
      <c r="O324" s="60"/>
      <c r="P324" s="39" t="s">
        <v>140</v>
      </c>
      <c r="Q324" s="43"/>
      <c r="R324" s="39" t="s">
        <v>456</v>
      </c>
      <c r="S324" s="39"/>
      <c r="T324" s="32"/>
      <c r="U324" s="32"/>
      <c r="V324" s="32"/>
      <c r="W324" s="32"/>
      <c r="X324" s="32"/>
      <c r="Y324" s="32"/>
      <c r="Z324" s="32"/>
    </row>
    <row r="325" spans="1:27" ht="12.75">
      <c r="A325" s="22" t="s">
        <v>457</v>
      </c>
      <c r="B325" s="22" t="s">
        <v>458</v>
      </c>
      <c r="C325" s="22" t="s">
        <v>269</v>
      </c>
      <c r="D325" s="22" t="s">
        <v>89</v>
      </c>
      <c r="E325" s="21" t="s">
        <v>21</v>
      </c>
      <c r="F325" s="32" t="s">
        <v>136</v>
      </c>
      <c r="G325" s="47">
        <v>0.5844444444444444</v>
      </c>
      <c r="H325" s="25">
        <f t="shared" si="27"/>
        <v>-0.2332567652855858</v>
      </c>
      <c r="I325" s="47">
        <v>0.06714642190994723</v>
      </c>
      <c r="J325" s="26">
        <f t="shared" si="25"/>
        <v>0.34466794516512833</v>
      </c>
      <c r="K325" s="24">
        <f t="shared" si="26"/>
        <v>75.76013143483024</v>
      </c>
      <c r="L325" s="24">
        <f t="shared" si="24"/>
        <v>3</v>
      </c>
      <c r="M325" s="33">
        <v>9</v>
      </c>
      <c r="N325" s="36" t="s">
        <v>459</v>
      </c>
      <c r="O325" s="35">
        <v>1.1111111111111112</v>
      </c>
      <c r="P325" s="32" t="s">
        <v>460</v>
      </c>
      <c r="U325" s="32" t="s">
        <v>26</v>
      </c>
      <c r="V325" s="32" t="s">
        <v>457</v>
      </c>
      <c r="W325" s="32"/>
      <c r="AA325" s="31"/>
    </row>
    <row r="326" spans="1:27" ht="12.75">
      <c r="A326" s="22" t="s">
        <v>457</v>
      </c>
      <c r="B326" s="22" t="s">
        <v>458</v>
      </c>
      <c r="C326" s="22" t="s">
        <v>269</v>
      </c>
      <c r="D326" s="22" t="s">
        <v>89</v>
      </c>
      <c r="E326" s="21" t="s">
        <v>21</v>
      </c>
      <c r="F326" s="32" t="s">
        <v>136</v>
      </c>
      <c r="G326" s="47">
        <v>0.3588888888888889</v>
      </c>
      <c r="H326" s="25">
        <f t="shared" si="27"/>
        <v>-0.44503998710822196</v>
      </c>
      <c r="I326" s="47">
        <v>0.05276900511886278</v>
      </c>
      <c r="J326" s="26">
        <f t="shared" si="25"/>
        <v>0.4411031387644876</v>
      </c>
      <c r="K326" s="24">
        <f t="shared" si="26"/>
        <v>46.25537574817117</v>
      </c>
      <c r="L326" s="24">
        <f aca="true" t="shared" si="28" ref="L326:L341">M326^0.5</f>
        <v>3</v>
      </c>
      <c r="M326" s="33">
        <v>9</v>
      </c>
      <c r="N326" s="34" t="s">
        <v>461</v>
      </c>
      <c r="O326" s="35">
        <v>5.555555555555555</v>
      </c>
      <c r="P326" s="32" t="s">
        <v>460</v>
      </c>
      <c r="U326" s="32" t="s">
        <v>26</v>
      </c>
      <c r="V326" s="32" t="s">
        <v>457</v>
      </c>
      <c r="W326" s="32"/>
      <c r="AA326" s="31"/>
    </row>
    <row r="327" spans="1:27" ht="12.75">
      <c r="A327" s="22" t="s">
        <v>457</v>
      </c>
      <c r="B327" s="22" t="s">
        <v>458</v>
      </c>
      <c r="C327" s="22" t="s">
        <v>269</v>
      </c>
      <c r="D327" s="22" t="s">
        <v>89</v>
      </c>
      <c r="E327" s="21" t="s">
        <v>21</v>
      </c>
      <c r="F327" s="32" t="s">
        <v>136</v>
      </c>
      <c r="G327" s="47">
        <v>0.28285714285714286</v>
      </c>
      <c r="H327" s="25">
        <f t="shared" si="27"/>
        <v>-0.5484328497527257</v>
      </c>
      <c r="I327" s="47">
        <v>0.018608022554838052</v>
      </c>
      <c r="J327" s="26">
        <f t="shared" si="25"/>
        <v>0.1740532325734726</v>
      </c>
      <c r="K327" s="24">
        <f t="shared" si="26"/>
        <v>231.06483300589315</v>
      </c>
      <c r="L327" s="24">
        <f t="shared" si="28"/>
        <v>2.6457513110645907</v>
      </c>
      <c r="M327" s="33">
        <v>7</v>
      </c>
      <c r="N327" s="34" t="s">
        <v>462</v>
      </c>
      <c r="O327" s="35">
        <v>15.142857142857142</v>
      </c>
      <c r="P327" s="32" t="s">
        <v>460</v>
      </c>
      <c r="U327" s="32" t="s">
        <v>26</v>
      </c>
      <c r="V327" s="32" t="s">
        <v>457</v>
      </c>
      <c r="W327" s="32"/>
      <c r="AA327" s="31"/>
    </row>
    <row r="328" spans="1:27" ht="12.75">
      <c r="A328" s="22" t="s">
        <v>457</v>
      </c>
      <c r="B328" s="22" t="s">
        <v>458</v>
      </c>
      <c r="C328" s="22" t="s">
        <v>269</v>
      </c>
      <c r="D328" s="22" t="s">
        <v>35</v>
      </c>
      <c r="E328" s="21" t="s">
        <v>35</v>
      </c>
      <c r="F328" s="32" t="s">
        <v>36</v>
      </c>
      <c r="G328" s="35">
        <v>6.277777777777778</v>
      </c>
      <c r="H328" s="25">
        <f t="shared" si="27"/>
        <v>0.7978059383801136</v>
      </c>
      <c r="I328" s="35">
        <v>0.7348049207816582</v>
      </c>
      <c r="J328" s="26">
        <f t="shared" si="25"/>
        <v>0.3511457143558367</v>
      </c>
      <c r="K328" s="24">
        <f t="shared" si="26"/>
        <v>72.99073968217664</v>
      </c>
      <c r="L328" s="24">
        <f t="shared" si="28"/>
        <v>3</v>
      </c>
      <c r="M328" s="33">
        <v>9</v>
      </c>
      <c r="N328" s="36" t="s">
        <v>459</v>
      </c>
      <c r="O328" s="35">
        <v>1.1111111111111112</v>
      </c>
      <c r="P328" s="32" t="s">
        <v>460</v>
      </c>
      <c r="U328" s="32" t="s">
        <v>26</v>
      </c>
      <c r="V328" s="32" t="s">
        <v>457</v>
      </c>
      <c r="W328" s="32"/>
      <c r="AA328" s="31"/>
    </row>
    <row r="329" spans="1:27" ht="12.75">
      <c r="A329" s="22" t="s">
        <v>457</v>
      </c>
      <c r="B329" s="22" t="s">
        <v>458</v>
      </c>
      <c r="C329" s="22" t="s">
        <v>269</v>
      </c>
      <c r="D329" s="22" t="s">
        <v>35</v>
      </c>
      <c r="E329" s="21" t="s">
        <v>35</v>
      </c>
      <c r="F329" s="32" t="s">
        <v>36</v>
      </c>
      <c r="G329" s="35">
        <v>7.2</v>
      </c>
      <c r="H329" s="25">
        <f t="shared" si="27"/>
        <v>0.8573324964312685</v>
      </c>
      <c r="I329" s="35">
        <v>0.47842333648024277</v>
      </c>
      <c r="J329" s="26">
        <f t="shared" si="25"/>
        <v>0.19934305686676781</v>
      </c>
      <c r="K329" s="24">
        <f t="shared" si="26"/>
        <v>226.4854368932052</v>
      </c>
      <c r="L329" s="24">
        <f t="shared" si="28"/>
        <v>3</v>
      </c>
      <c r="M329" s="33">
        <v>9</v>
      </c>
      <c r="N329" s="34" t="s">
        <v>461</v>
      </c>
      <c r="O329" s="35">
        <v>5.555555555555555</v>
      </c>
      <c r="P329" s="32" t="s">
        <v>460</v>
      </c>
      <c r="U329" s="32" t="s">
        <v>26</v>
      </c>
      <c r="V329" s="32" t="s">
        <v>457</v>
      </c>
      <c r="W329" s="32"/>
      <c r="AA329" s="31"/>
    </row>
    <row r="330" spans="1:27" ht="12.75">
      <c r="A330" s="22" t="s">
        <v>457</v>
      </c>
      <c r="B330" s="22" t="s">
        <v>458</v>
      </c>
      <c r="C330" s="22" t="s">
        <v>269</v>
      </c>
      <c r="D330" s="22" t="s">
        <v>35</v>
      </c>
      <c r="E330" s="21" t="s">
        <v>35</v>
      </c>
      <c r="F330" s="32" t="s">
        <v>36</v>
      </c>
      <c r="G330" s="35">
        <v>7.742857142857143</v>
      </c>
      <c r="H330" s="25">
        <f t="shared" si="27"/>
        <v>0.88890124652413</v>
      </c>
      <c r="I330" s="35">
        <v>0.26979458046124216</v>
      </c>
      <c r="J330" s="26">
        <f t="shared" si="25"/>
        <v>0.09218940138033523</v>
      </c>
      <c r="K330" s="24">
        <f t="shared" si="26"/>
        <v>823.6373831775796</v>
      </c>
      <c r="L330" s="24">
        <f t="shared" si="28"/>
        <v>2.6457513110645907</v>
      </c>
      <c r="M330" s="33">
        <v>7</v>
      </c>
      <c r="N330" s="34" t="s">
        <v>462</v>
      </c>
      <c r="O330" s="35">
        <v>15.142857142857142</v>
      </c>
      <c r="P330" s="32" t="s">
        <v>460</v>
      </c>
      <c r="U330" s="32" t="s">
        <v>26</v>
      </c>
      <c r="V330" s="32" t="s">
        <v>457</v>
      </c>
      <c r="W330" s="32"/>
      <c r="AA330" s="31"/>
    </row>
    <row r="331" spans="1:27" ht="12.75">
      <c r="A331" s="22" t="s">
        <v>457</v>
      </c>
      <c r="B331" s="22" t="s">
        <v>458</v>
      </c>
      <c r="C331" s="22" t="s">
        <v>269</v>
      </c>
      <c r="D331" s="22" t="s">
        <v>39</v>
      </c>
      <c r="E331" s="21" t="s">
        <v>39</v>
      </c>
      <c r="F331" s="32" t="s">
        <v>40</v>
      </c>
      <c r="G331" s="47">
        <v>0.26844444444444443</v>
      </c>
      <c r="H331" s="25">
        <f t="shared" si="27"/>
        <v>-0.5711455794902307</v>
      </c>
      <c r="I331" s="47">
        <v>0.023759858252892268</v>
      </c>
      <c r="J331" s="26">
        <f t="shared" si="25"/>
        <v>0.2655282172301702</v>
      </c>
      <c r="K331" s="24">
        <f t="shared" si="26"/>
        <v>127.65009731668336</v>
      </c>
      <c r="L331" s="24">
        <f t="shared" si="28"/>
        <v>3</v>
      </c>
      <c r="M331" s="33">
        <v>9</v>
      </c>
      <c r="N331" s="36" t="s">
        <v>459</v>
      </c>
      <c r="O331" s="35">
        <v>1.1111111111111112</v>
      </c>
      <c r="P331" s="32" t="s">
        <v>460</v>
      </c>
      <c r="U331" s="32" t="s">
        <v>26</v>
      </c>
      <c r="V331" s="32" t="s">
        <v>457</v>
      </c>
      <c r="W331" s="32"/>
      <c r="AA331" s="31"/>
    </row>
    <row r="332" spans="1:27" ht="12.75">
      <c r="A332" s="22" t="s">
        <v>457</v>
      </c>
      <c r="B332" s="22" t="s">
        <v>458</v>
      </c>
      <c r="C332" s="22" t="s">
        <v>269</v>
      </c>
      <c r="D332" s="22" t="s">
        <v>39</v>
      </c>
      <c r="E332" s="21" t="s">
        <v>39</v>
      </c>
      <c r="F332" s="32" t="s">
        <v>40</v>
      </c>
      <c r="G332" s="47">
        <v>0.22544444444444448</v>
      </c>
      <c r="H332" s="25">
        <f t="shared" si="27"/>
        <v>-0.6469604624059788</v>
      </c>
      <c r="I332" s="47">
        <v>0.021618607668646508</v>
      </c>
      <c r="J332" s="26">
        <f t="shared" si="25"/>
        <v>0.28767984576316197</v>
      </c>
      <c r="K332" s="24">
        <f t="shared" si="26"/>
        <v>108.74859007039805</v>
      </c>
      <c r="L332" s="24">
        <f t="shared" si="28"/>
        <v>3</v>
      </c>
      <c r="M332" s="33">
        <v>9</v>
      </c>
      <c r="N332" s="34" t="s">
        <v>461</v>
      </c>
      <c r="O332" s="35">
        <v>5.555555555555555</v>
      </c>
      <c r="P332" s="32" t="s">
        <v>460</v>
      </c>
      <c r="U332" s="32" t="s">
        <v>26</v>
      </c>
      <c r="V332" s="32" t="s">
        <v>457</v>
      </c>
      <c r="W332" s="32"/>
      <c r="AA332" s="31"/>
    </row>
    <row r="333" spans="1:27" ht="12.75">
      <c r="A333" s="22" t="s">
        <v>457</v>
      </c>
      <c r="B333" s="22" t="s">
        <v>458</v>
      </c>
      <c r="C333" s="22" t="s">
        <v>269</v>
      </c>
      <c r="D333" s="22" t="s">
        <v>39</v>
      </c>
      <c r="E333" s="21" t="s">
        <v>39</v>
      </c>
      <c r="F333" s="32" t="s">
        <v>40</v>
      </c>
      <c r="G333" s="47">
        <v>0.19014285714285717</v>
      </c>
      <c r="H333" s="25">
        <f t="shared" si="27"/>
        <v>-0.7209199845395816</v>
      </c>
      <c r="I333" s="47">
        <v>0.014519983883351536</v>
      </c>
      <c r="J333" s="26">
        <f t="shared" si="25"/>
        <v>0.20203896677092287</v>
      </c>
      <c r="K333" s="24">
        <f t="shared" si="26"/>
        <v>171.48564145586025</v>
      </c>
      <c r="L333" s="24">
        <f t="shared" si="28"/>
        <v>2.6457513110645907</v>
      </c>
      <c r="M333" s="33">
        <v>7</v>
      </c>
      <c r="N333" s="34" t="s">
        <v>462</v>
      </c>
      <c r="O333" s="35">
        <v>15.142857142857142</v>
      </c>
      <c r="P333" s="32" t="s">
        <v>460</v>
      </c>
      <c r="U333" s="32" t="s">
        <v>26</v>
      </c>
      <c r="V333" s="32" t="s">
        <v>457</v>
      </c>
      <c r="W333" s="32"/>
      <c r="AA333" s="31"/>
    </row>
    <row r="334" spans="1:27" ht="12.75">
      <c r="A334" s="21" t="s">
        <v>463</v>
      </c>
      <c r="B334" s="22" t="s">
        <v>464</v>
      </c>
      <c r="C334" s="22" t="s">
        <v>48</v>
      </c>
      <c r="D334" s="21" t="s">
        <v>21</v>
      </c>
      <c r="E334" s="21" t="s">
        <v>21</v>
      </c>
      <c r="F334" s="23" t="s">
        <v>375</v>
      </c>
      <c r="G334" s="24">
        <v>0.7420909090909091</v>
      </c>
      <c r="H334" s="25">
        <f t="shared" si="27"/>
        <v>-0.1295428886588049</v>
      </c>
      <c r="I334" s="24">
        <v>0.06106858358293936</v>
      </c>
      <c r="J334" s="26">
        <f t="shared" si="25"/>
        <v>0.2729336469991108</v>
      </c>
      <c r="K334" s="24">
        <f t="shared" si="26"/>
        <v>147.66532595832928</v>
      </c>
      <c r="L334" s="24">
        <f t="shared" si="28"/>
        <v>3.3166247903554</v>
      </c>
      <c r="M334" s="27">
        <v>11</v>
      </c>
      <c r="N334" s="27" t="s">
        <v>465</v>
      </c>
      <c r="O334" s="29">
        <f>10/365</f>
        <v>0.0273972602739726</v>
      </c>
      <c r="P334" s="23" t="s">
        <v>466</v>
      </c>
      <c r="U334" s="32" t="s">
        <v>26</v>
      </c>
      <c r="V334" s="23" t="s">
        <v>463</v>
      </c>
      <c r="W334" s="23"/>
      <c r="AA334" s="31"/>
    </row>
    <row r="335" spans="1:27" ht="12.75">
      <c r="A335" s="21" t="s">
        <v>463</v>
      </c>
      <c r="B335" s="22" t="s">
        <v>464</v>
      </c>
      <c r="C335" s="22" t="s">
        <v>48</v>
      </c>
      <c r="D335" s="21" t="s">
        <v>21</v>
      </c>
      <c r="E335" s="21" t="s">
        <v>21</v>
      </c>
      <c r="F335" s="23" t="s">
        <v>375</v>
      </c>
      <c r="G335" s="24">
        <v>0.9562139500357271</v>
      </c>
      <c r="H335" s="25">
        <f t="shared" si="27"/>
        <v>-0.01944492474884082</v>
      </c>
      <c r="I335" s="24">
        <v>0.037021238605083766</v>
      </c>
      <c r="J335" s="26">
        <f aca="true" t="shared" si="29" ref="J335:J341">(I335*(M335^0.5))/G335</f>
        <v>0.1341178221061084</v>
      </c>
      <c r="K335" s="24">
        <f t="shared" si="26"/>
        <v>667.1266057458431</v>
      </c>
      <c r="L335" s="24">
        <f t="shared" si="28"/>
        <v>3.4641016151377544</v>
      </c>
      <c r="M335" s="27">
        <v>12</v>
      </c>
      <c r="N335" s="27" t="s">
        <v>46</v>
      </c>
      <c r="O335" s="29"/>
      <c r="P335" s="23" t="s">
        <v>467</v>
      </c>
      <c r="U335" s="32" t="s">
        <v>32</v>
      </c>
      <c r="V335" s="23" t="s">
        <v>463</v>
      </c>
      <c r="W335" s="23"/>
      <c r="AA335" s="31"/>
    </row>
    <row r="336" spans="1:27" ht="12.75">
      <c r="A336" s="21" t="s">
        <v>463</v>
      </c>
      <c r="B336" s="22" t="s">
        <v>464</v>
      </c>
      <c r="C336" s="22" t="s">
        <v>48</v>
      </c>
      <c r="D336" s="21" t="s">
        <v>34</v>
      </c>
      <c r="E336" s="21" t="s">
        <v>35</v>
      </c>
      <c r="F336" s="23" t="s">
        <v>36</v>
      </c>
      <c r="G336" s="29">
        <v>8.543939393939393</v>
      </c>
      <c r="H336" s="25">
        <f t="shared" si="27"/>
        <v>0.9316581590464844</v>
      </c>
      <c r="I336" s="29">
        <v>0.858223066548507</v>
      </c>
      <c r="J336" s="26">
        <f t="shared" si="29"/>
        <v>0.3331488868224761</v>
      </c>
      <c r="K336" s="24">
        <f aca="true" t="shared" si="30" ref="K336:K341">(G336/I336)^2</f>
        <v>99.10965223142512</v>
      </c>
      <c r="L336" s="24">
        <f t="shared" si="28"/>
        <v>3.3166247903554</v>
      </c>
      <c r="M336" s="27">
        <v>11</v>
      </c>
      <c r="N336" s="27" t="s">
        <v>465</v>
      </c>
      <c r="O336" s="29">
        <f>10/365</f>
        <v>0.0273972602739726</v>
      </c>
      <c r="P336" s="23" t="s">
        <v>466</v>
      </c>
      <c r="U336" s="32" t="s">
        <v>26</v>
      </c>
      <c r="V336" s="23" t="s">
        <v>463</v>
      </c>
      <c r="W336" s="23"/>
      <c r="AA336" s="31"/>
    </row>
    <row r="337" spans="1:27" ht="12.75">
      <c r="A337" s="21" t="s">
        <v>463</v>
      </c>
      <c r="B337" s="22" t="s">
        <v>464</v>
      </c>
      <c r="C337" s="22" t="s">
        <v>48</v>
      </c>
      <c r="D337" s="21" t="s">
        <v>34</v>
      </c>
      <c r="E337" s="21" t="s">
        <v>35</v>
      </c>
      <c r="F337" s="23" t="s">
        <v>36</v>
      </c>
      <c r="G337" s="29">
        <v>9.689166666666667</v>
      </c>
      <c r="H337" s="25">
        <f t="shared" si="27"/>
        <v>0.9862864264180264</v>
      </c>
      <c r="I337" s="29">
        <v>0.8455735531805529</v>
      </c>
      <c r="J337" s="26">
        <f t="shared" si="29"/>
        <v>0.30231214015211383</v>
      </c>
      <c r="K337" s="24">
        <f t="shared" si="30"/>
        <v>131.30161577641255</v>
      </c>
      <c r="L337" s="24">
        <f t="shared" si="28"/>
        <v>3.4641016151377544</v>
      </c>
      <c r="M337" s="27">
        <v>12</v>
      </c>
      <c r="N337" s="27" t="s">
        <v>46</v>
      </c>
      <c r="O337" s="29"/>
      <c r="P337" s="23" t="s">
        <v>467</v>
      </c>
      <c r="U337" s="32" t="s">
        <v>32</v>
      </c>
      <c r="V337" s="23" t="s">
        <v>463</v>
      </c>
      <c r="W337" s="23"/>
      <c r="AA337" s="31"/>
    </row>
    <row r="338" spans="1:27" ht="12.75">
      <c r="A338" s="21" t="s">
        <v>463</v>
      </c>
      <c r="B338" s="22" t="s">
        <v>464</v>
      </c>
      <c r="C338" s="22" t="s">
        <v>48</v>
      </c>
      <c r="D338" s="21" t="s">
        <v>39</v>
      </c>
      <c r="E338" s="21" t="s">
        <v>39</v>
      </c>
      <c r="F338" s="23" t="s">
        <v>40</v>
      </c>
      <c r="G338" s="24">
        <v>0.5060909090909091</v>
      </c>
      <c r="H338" s="25">
        <f t="shared" si="27"/>
        <v>-0.29577146385128655</v>
      </c>
      <c r="I338" s="24">
        <v>0.009412230481911124</v>
      </c>
      <c r="J338" s="26">
        <f t="shared" si="29"/>
        <v>0.061682271679054615</v>
      </c>
      <c r="K338" s="24">
        <f t="shared" si="30"/>
        <v>2891.15892680597</v>
      </c>
      <c r="L338" s="24">
        <f t="shared" si="28"/>
        <v>3.3166247903554</v>
      </c>
      <c r="M338" s="27">
        <v>11</v>
      </c>
      <c r="N338" s="27" t="s">
        <v>465</v>
      </c>
      <c r="O338" s="29">
        <f>10/365</f>
        <v>0.0273972602739726</v>
      </c>
      <c r="P338" s="23" t="s">
        <v>466</v>
      </c>
      <c r="U338" s="32" t="s">
        <v>26</v>
      </c>
      <c r="V338" s="23" t="s">
        <v>463</v>
      </c>
      <c r="W338" s="23"/>
      <c r="AA338" s="31"/>
    </row>
    <row r="339" spans="1:27" ht="12.75">
      <c r="A339" s="21" t="s">
        <v>463</v>
      </c>
      <c r="B339" s="22" t="s">
        <v>464</v>
      </c>
      <c r="C339" s="22" t="s">
        <v>48</v>
      </c>
      <c r="D339" s="21" t="s">
        <v>39</v>
      </c>
      <c r="E339" s="21" t="s">
        <v>39</v>
      </c>
      <c r="F339" s="23" t="s">
        <v>40</v>
      </c>
      <c r="G339" s="24">
        <v>0.7833333333333333</v>
      </c>
      <c r="H339" s="25">
        <f>LOG(G339)</f>
        <v>-0.10605339244792618</v>
      </c>
      <c r="I339" s="24">
        <v>0.05424877227117023</v>
      </c>
      <c r="J339" s="26">
        <f t="shared" si="29"/>
        <v>0.2399020335878311</v>
      </c>
      <c r="K339" s="24">
        <f t="shared" si="30"/>
        <v>208.50351810537185</v>
      </c>
      <c r="L339" s="24">
        <f t="shared" si="28"/>
        <v>3.4641016151377544</v>
      </c>
      <c r="M339" s="27">
        <v>12</v>
      </c>
      <c r="N339" s="27" t="s">
        <v>46</v>
      </c>
      <c r="O339" s="29"/>
      <c r="P339" s="23" t="s">
        <v>467</v>
      </c>
      <c r="U339" s="32" t="s">
        <v>32</v>
      </c>
      <c r="V339" s="23" t="s">
        <v>463</v>
      </c>
      <c r="W339" s="23"/>
      <c r="AA339" s="31"/>
    </row>
    <row r="340" spans="1:27" ht="12.75">
      <c r="A340" s="21" t="s">
        <v>468</v>
      </c>
      <c r="B340" s="22" t="s">
        <v>469</v>
      </c>
      <c r="C340" s="22" t="s">
        <v>269</v>
      </c>
      <c r="D340" s="21" t="s">
        <v>35</v>
      </c>
      <c r="E340" s="21" t="s">
        <v>35</v>
      </c>
      <c r="F340" s="23" t="s">
        <v>36</v>
      </c>
      <c r="G340" s="24">
        <v>1.5</v>
      </c>
      <c r="H340" s="25">
        <f>LOG(G340)</f>
        <v>0.17609125905568124</v>
      </c>
      <c r="I340" s="24">
        <f>0.5/SQRT(M340)</f>
        <v>0.14433756729740646</v>
      </c>
      <c r="J340" s="26">
        <f t="shared" si="29"/>
        <v>0.3333333333333333</v>
      </c>
      <c r="K340" s="24">
        <f t="shared" si="30"/>
        <v>107.99999999999997</v>
      </c>
      <c r="L340" s="24">
        <f t="shared" si="28"/>
        <v>3.4641016151377544</v>
      </c>
      <c r="M340" s="27">
        <v>12</v>
      </c>
      <c r="N340" s="28" t="s">
        <v>470</v>
      </c>
      <c r="O340" s="29">
        <v>6.5</v>
      </c>
      <c r="P340" s="23" t="s">
        <v>471</v>
      </c>
      <c r="U340" s="32" t="s">
        <v>51</v>
      </c>
      <c r="V340" s="23"/>
      <c r="W340" s="23"/>
      <c r="AA340" s="31"/>
    </row>
    <row r="341" spans="1:27" ht="12.75">
      <c r="A341" s="21" t="s">
        <v>468</v>
      </c>
      <c r="B341" s="22" t="s">
        <v>469</v>
      </c>
      <c r="C341" s="22" t="s">
        <v>269</v>
      </c>
      <c r="D341" s="21" t="s">
        <v>35</v>
      </c>
      <c r="E341" s="21" t="s">
        <v>35</v>
      </c>
      <c r="F341" s="23" t="s">
        <v>36</v>
      </c>
      <c r="G341" s="27">
        <v>1.1</v>
      </c>
      <c r="H341" s="25">
        <f>LOG(G341)</f>
        <v>0.04139268515822508</v>
      </c>
      <c r="I341" s="24">
        <f>0.2/SQRT(M341)</f>
        <v>0.06666666666666667</v>
      </c>
      <c r="J341" s="26">
        <f t="shared" si="29"/>
        <v>0.18181818181818182</v>
      </c>
      <c r="K341" s="24">
        <f t="shared" si="30"/>
        <v>272.25</v>
      </c>
      <c r="L341" s="24">
        <f t="shared" si="28"/>
        <v>3</v>
      </c>
      <c r="M341" s="27">
        <v>9</v>
      </c>
      <c r="N341" s="28" t="s">
        <v>55</v>
      </c>
      <c r="O341" s="29"/>
      <c r="P341" s="23" t="s">
        <v>471</v>
      </c>
      <c r="U341" s="32" t="s">
        <v>51</v>
      </c>
      <c r="V341" s="23"/>
      <c r="W341" s="23"/>
      <c r="AA341" s="31"/>
    </row>
    <row r="342" spans="16:27" ht="12.75">
      <c r="P342" s="33"/>
      <c r="U342" s="32" t="s">
        <v>472</v>
      </c>
      <c r="W342" s="33"/>
      <c r="AA342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Tim Becker</cp:lastModifiedBy>
  <dcterms:created xsi:type="dcterms:W3CDTF">2001-09-24T20:47:45Z</dcterms:created>
  <dcterms:modified xsi:type="dcterms:W3CDTF">2001-10-02T20:15:01Z</dcterms:modified>
  <cp:category/>
  <cp:version/>
  <cp:contentType/>
  <cp:contentStatus/>
</cp:coreProperties>
</file>