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19940" windowHeight="12500" firstSheet="8" activeTab="10"/>
  </bookViews>
  <sheets>
    <sheet name="Bennett et al 1985" sheetId="1" r:id="rId1"/>
    <sheet name="Lippman and Albert 1-3" sheetId="2" r:id="rId2"/>
    <sheet name="Lippman and Albert 4-5" sheetId="3" r:id="rId3"/>
    <sheet name="Lippman and Albert 5-6" sheetId="4" r:id="rId4"/>
    <sheet name="Laube et al-asthm" sheetId="5" r:id="rId5"/>
    <sheet name="Laube et al-normal subj" sheetId="6" r:id="rId6"/>
    <sheet name="Laurenco et al" sheetId="7" r:id="rId7"/>
    <sheet name="Laurenco et al-normal distr" sheetId="8" r:id="rId8"/>
    <sheet name="Matthys et al 1983" sheetId="9" r:id="rId9"/>
    <sheet name="ind. data" sheetId="10" r:id="rId10"/>
    <sheet name="regression data" sheetId="11" r:id="rId11"/>
    <sheet name="combined estimates" sheetId="12" r:id="rId12"/>
    <sheet name="estimates " sheetId="13" r:id="rId13"/>
  </sheets>
  <definedNames/>
  <calcPr fullCalcOnLoad="1"/>
</workbook>
</file>

<file path=xl/sharedStrings.xml><?xml version="1.0" encoding="utf-8"?>
<sst xmlns="http://schemas.openxmlformats.org/spreadsheetml/2006/main" count="726" uniqueCount="233">
  <si>
    <t>Pack-years smoked</t>
  </si>
  <si>
    <t>Activity after 60 min.</t>
  </si>
  <si>
    <t>Clearance after 60 min.</t>
  </si>
  <si>
    <t>-</t>
  </si>
  <si>
    <t>(from probability plot)</t>
  </si>
  <si>
    <t>Smokers with bronchial carcinoma without complications</t>
  </si>
  <si>
    <t>matthys</t>
  </si>
  <si>
    <t>bronchitics</t>
  </si>
  <si>
    <t xml:space="preserve">carcinoma </t>
  </si>
  <si>
    <t xml:space="preserve">without </t>
  </si>
  <si>
    <t>complications</t>
  </si>
  <si>
    <t xml:space="preserve">combined </t>
  </si>
  <si>
    <t>estimate</t>
  </si>
  <si>
    <t>logGSD^2</t>
  </si>
  <si>
    <t>INFIRM ONLY</t>
  </si>
  <si>
    <t>NORMAL SUBJECTS ONLY</t>
  </si>
  <si>
    <t>N=86</t>
  </si>
  <si>
    <t>N=30</t>
  </si>
  <si>
    <t>hours</t>
  </si>
  <si>
    <t>RESTING COMBINATION OF 2.5 AND 24 HOUR CLEARANCE</t>
  </si>
  <si>
    <t>10 and 24 ALL SIZES</t>
  </si>
  <si>
    <t>10 HOURS ALL SIZES</t>
  </si>
  <si>
    <t>24 HOURS ALL SIZES</t>
  </si>
  <si>
    <t>2.5 and 24</t>
  </si>
  <si>
    <t>10 and 24</t>
  </si>
  <si>
    <t>microns</t>
  </si>
  <si>
    <t>CLEARANCE TIME = 24 Hours</t>
  </si>
  <si>
    <t>CLEARANCE TIME &lt; 3 Hours</t>
  </si>
  <si>
    <t>N=82</t>
  </si>
  <si>
    <t>PARTICLE SIZES</t>
  </si>
  <si>
    <t>N=39</t>
  </si>
  <si>
    <t>not given</t>
  </si>
  <si>
    <t>laube asth</t>
  </si>
  <si>
    <t>laube norm</t>
  </si>
  <si>
    <t xml:space="preserve">lippman </t>
  </si>
  <si>
    <t>condition</t>
  </si>
  <si>
    <t>infirm only</t>
  </si>
  <si>
    <t>normals only</t>
  </si>
  <si>
    <t>1-3 hrs</t>
  </si>
  <si>
    <t>24 hrs</t>
  </si>
  <si>
    <t>n</t>
  </si>
  <si>
    <t>Taken from figure 3 using data thief</t>
  </si>
  <si>
    <t>SUBGROUPS</t>
  </si>
  <si>
    <t>loglogGSD</t>
  </si>
  <si>
    <t>variance</t>
  </si>
  <si>
    <t>1/var(loglogGSD)</t>
  </si>
  <si>
    <t>particle size</t>
  </si>
  <si>
    <t>10 hrs</t>
  </si>
  <si>
    <t>Regression analysis results</t>
  </si>
  <si>
    <t>Response:</t>
  </si>
  <si>
    <t>Summary of Fit</t>
  </si>
  <si>
    <t>RSquare</t>
  </si>
  <si>
    <t>RSquare Adj</t>
  </si>
  <si>
    <t>Root Mean Square Error</t>
  </si>
  <si>
    <t>Mean of Response</t>
  </si>
  <si>
    <t>Observations (or Sum Wgts)</t>
  </si>
  <si>
    <t>Parameter Estimates</t>
  </si>
  <si>
    <t>Term</t>
  </si>
  <si>
    <t>Estimate</t>
  </si>
  <si>
    <t>Std Error</t>
  </si>
  <si>
    <t>t Ratio</t>
  </si>
  <si>
    <t>Prob&gt;|t|</t>
  </si>
  <si>
    <t>Intercept</t>
  </si>
  <si>
    <t>Effect Test</t>
  </si>
  <si>
    <t>Source</t>
  </si>
  <si>
    <t>Nparm</t>
  </si>
  <si>
    <t>DF</t>
  </si>
  <si>
    <t>Sum of Squares</t>
  </si>
  <si>
    <t>F Ratio</t>
  </si>
  <si>
    <t>Prob&gt;F</t>
  </si>
  <si>
    <t>Whole-Model Test</t>
  </si>
  <si>
    <t>Analysis of Variance</t>
  </si>
  <si>
    <t>Mean Square</t>
  </si>
  <si>
    <t>Model</t>
  </si>
  <si>
    <t>Error</t>
  </si>
  <si>
    <t>C Total</t>
  </si>
  <si>
    <t>not sig at all--try other formulation</t>
  </si>
  <si>
    <t>Delete</t>
  </si>
  <si>
    <t>&lt;.0001</t>
  </si>
  <si>
    <t>Combined estimate of Log(logGSD) for people without lung disease</t>
  </si>
  <si>
    <t>Log(LogGSD)</t>
  </si>
  <si>
    <t>Log(GSD)</t>
  </si>
  <si>
    <t>Combined estimate of Log(logGSD) for people with lung disease</t>
  </si>
  <si>
    <t>bronchiectasis</t>
  </si>
  <si>
    <t>24 hours</t>
  </si>
  <si>
    <t>&lt;3 hrs</t>
  </si>
  <si>
    <t>N</t>
  </si>
  <si>
    <t>Weight</t>
  </si>
  <si>
    <t>author</t>
  </si>
  <si>
    <t>group</t>
  </si>
  <si>
    <t>part lt 3</t>
  </si>
  <si>
    <t>bronchitis</t>
  </si>
  <si>
    <t>lung disease</t>
  </si>
  <si>
    <t>Clearance time groups</t>
  </si>
  <si>
    <t>log(logGSD)</t>
  </si>
  <si>
    <t>Clearance data</t>
  </si>
  <si>
    <t>Lourenco et al 1972: subjects with bronchiectasis</t>
  </si>
  <si>
    <t>Subject</t>
  </si>
  <si>
    <t>Jgu</t>
  </si>
  <si>
    <t>CP</t>
  </si>
  <si>
    <t>BR</t>
  </si>
  <si>
    <t>ET</t>
  </si>
  <si>
    <t>JW</t>
  </si>
  <si>
    <t>WW</t>
  </si>
  <si>
    <t>LA</t>
  </si>
  <si>
    <t>JB</t>
  </si>
  <si>
    <t>NC</t>
  </si>
  <si>
    <t>DD</t>
  </si>
  <si>
    <t>AF</t>
  </si>
  <si>
    <t>EP</t>
  </si>
  <si>
    <t>JT</t>
  </si>
  <si>
    <t xml:space="preserve">JG </t>
  </si>
  <si>
    <t>Deposition characterization</t>
  </si>
  <si>
    <t>Diffuse</t>
  </si>
  <si>
    <t>Central</t>
  </si>
  <si>
    <t>24 hr retention</t>
  </si>
  <si>
    <t>24 hr clearance</t>
  </si>
  <si>
    <t>[-ln(1-24 hr Ret)]</t>
  </si>
  <si>
    <t>[-ln(1-24 hr Clearance)]</t>
  </si>
  <si>
    <t>log(Clearance hits/particle)</t>
  </si>
  <si>
    <t>i</t>
  </si>
  <si>
    <t>% score</t>
  </si>
  <si>
    <t>z-score</t>
  </si>
  <si>
    <t>Laube et al 1986: asthmatics</t>
  </si>
  <si>
    <t>97-min. clearance</t>
  </si>
  <si>
    <t>Day 1</t>
  </si>
  <si>
    <t>Day 2</t>
  </si>
  <si>
    <t>Log</t>
  </si>
  <si>
    <t>Clearance hits/p</t>
  </si>
  <si>
    <t>Bennett et al 1985: rest and exercise</t>
  </si>
  <si>
    <t>Rest</t>
  </si>
  <si>
    <t>DM</t>
  </si>
  <si>
    <t>JD</t>
  </si>
  <si>
    <t>PD</t>
  </si>
  <si>
    <t>AR</t>
  </si>
  <si>
    <t>DZ</t>
  </si>
  <si>
    <t>Exercise</t>
  </si>
  <si>
    <t>2.5 hr ret.</t>
  </si>
  <si>
    <t>24 hr ret.</t>
  </si>
  <si>
    <t>2.5 hr clearance</t>
  </si>
  <si>
    <t>logGSD</t>
  </si>
  <si>
    <t>SUBJECT</t>
  </si>
  <si>
    <t>DA</t>
  </si>
  <si>
    <t>RA</t>
  </si>
  <si>
    <t>RB</t>
  </si>
  <si>
    <t>RJB</t>
  </si>
  <si>
    <t>VB</t>
  </si>
  <si>
    <t>WB</t>
  </si>
  <si>
    <t>CC</t>
  </si>
  <si>
    <t>FC</t>
  </si>
  <si>
    <t>RD</t>
  </si>
  <si>
    <t>MH</t>
  </si>
  <si>
    <t>EK</t>
  </si>
  <si>
    <t>KK</t>
  </si>
  <si>
    <t>GL</t>
  </si>
  <si>
    <t>ML</t>
  </si>
  <si>
    <t>SL</t>
  </si>
  <si>
    <t>FN</t>
  </si>
  <si>
    <t>AO</t>
  </si>
  <si>
    <t>HTP</t>
  </si>
  <si>
    <t>JR</t>
  </si>
  <si>
    <t>LR</t>
  </si>
  <si>
    <t>CS</t>
  </si>
  <si>
    <t>CQS</t>
  </si>
  <si>
    <t>DS</t>
  </si>
  <si>
    <t>GVS</t>
  </si>
  <si>
    <t>IS</t>
  </si>
  <si>
    <t>BA</t>
  </si>
  <si>
    <t>DB</t>
  </si>
  <si>
    <t>FB</t>
  </si>
  <si>
    <t>HB</t>
  </si>
  <si>
    <t>DH</t>
  </si>
  <si>
    <t>HGP</t>
  </si>
  <si>
    <t>LP</t>
  </si>
  <si>
    <t>JS</t>
  </si>
  <si>
    <t>part size, um</t>
  </si>
  <si>
    <t>10 hr clearance</t>
  </si>
  <si>
    <t>24 hour clearance</t>
  </si>
  <si>
    <t>1-3 microns</t>
  </si>
  <si>
    <t>3-4 microns</t>
  </si>
  <si>
    <t>4-5 microns</t>
  </si>
  <si>
    <t>Lippman and Albert 1969: dirty little coworkers</t>
  </si>
  <si>
    <t>[-ln(1-97 min clearance)]</t>
  </si>
  <si>
    <t>5-6 microns</t>
  </si>
  <si>
    <t>6-8 microns</t>
  </si>
  <si>
    <t>[-ln(1-clearance)]</t>
  </si>
  <si>
    <t>[-ln(-cl) ]</t>
  </si>
  <si>
    <t>[-ln(1-cl.)]</t>
  </si>
  <si>
    <t>3-4 um</t>
  </si>
  <si>
    <t>10 hr</t>
  </si>
  <si>
    <t>24 hr</t>
  </si>
  <si>
    <t>24-h rest</t>
  </si>
  <si>
    <t>24-hr exer</t>
  </si>
  <si>
    <t>2.5-h rest</t>
  </si>
  <si>
    <t>2.5-h exer</t>
  </si>
  <si>
    <t>Laube et al 1986: normal subjects</t>
  </si>
  <si>
    <t>log</t>
  </si>
  <si>
    <t>Gerrity et al 1993</t>
  </si>
  <si>
    <t>mean</t>
  </si>
  <si>
    <t>s.d.</t>
  </si>
  <si>
    <t>gsd</t>
  </si>
  <si>
    <t>log geo.mean</t>
  </si>
  <si>
    <t>log gsd</t>
  </si>
  <si>
    <t>geo.mean</t>
  </si>
  <si>
    <t>15 healthy nonsmoking adults, male and female, exposed to clean air or 1 hr of 0.4 ppm ozone and inhaling 5-micron tagged Fe3O2 particles</t>
  </si>
  <si>
    <t>24hr retention</t>
  </si>
  <si>
    <t>clean air</t>
  </si>
  <si>
    <t>ozone</t>
  </si>
  <si>
    <t>24hr clear</t>
  </si>
  <si>
    <t>(SE)</t>
  </si>
  <si>
    <t>z scores</t>
  </si>
  <si>
    <t>normal %</t>
  </si>
  <si>
    <t>Cl values</t>
  </si>
  <si>
    <t>log(Cl values)</t>
  </si>
  <si>
    <t>estimated distribution</t>
  </si>
  <si>
    <t>[-ln(1-Cl)]</t>
  </si>
  <si>
    <t>logGSD (-ln(1-Cl))</t>
  </si>
  <si>
    <t>% clearance in 97 min.</t>
  </si>
  <si>
    <t>combined estimates</t>
  </si>
  <si>
    <t>lourenco</t>
  </si>
  <si>
    <t>n-1</t>
  </si>
  <si>
    <t>laube</t>
  </si>
  <si>
    <t>asthmatics</t>
  </si>
  <si>
    <t>normal</t>
  </si>
  <si>
    <t>from graph</t>
  </si>
  <si>
    <t>bennett</t>
  </si>
  <si>
    <t>lippman</t>
  </si>
  <si>
    <t>n=6</t>
  </si>
  <si>
    <t>H. Matthys, E.Vastag, D.Kohler, G.Daikeler, J.Fischer, 1983</t>
  </si>
  <si>
    <t>Mucociliary clearance in patients with chronic bronchitis and bronchial carcinoma</t>
  </si>
  <si>
    <t>Respiration 44: 329-337</t>
  </si>
  <si>
    <t>Smokers with chronic bronchitis and smokers with bronchial carcinoma without complications showed significantly different clearance</t>
  </si>
  <si>
    <t>Smokers with chronic bronchitis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</si>
</sst>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* #,##0.0_);_(* \(#,##0.0\);_(* &quot;-&quot;??_);_(@_)"/>
    <numFmt numFmtId="167" formatCode="_(* #,##0_);_(* \(#,##0\);_(* &quot;-&quot;??_);_(@_)"/>
    <numFmt numFmtId="168" formatCode="0.0000000"/>
    <numFmt numFmtId="169" formatCode="0.000000"/>
    <numFmt numFmtId="170" formatCode="0.00000"/>
    <numFmt numFmtId="171" formatCode="0.00000000"/>
    <numFmt numFmtId="172" formatCode="0.0%"/>
    <numFmt numFmtId="173" formatCode="_(* #,##0.0_);_(* \(#,##0.0\);_(* &quot;-&quot;?_);_(@_)"/>
    <numFmt numFmtId="174" formatCode="0.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0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vertAlign val="superscript"/>
      <sz val="9"/>
      <name val="Geneva"/>
      <family val="0"/>
    </font>
    <font>
      <sz val="9"/>
      <color indexed="12"/>
      <name val="Geneva"/>
      <family val="0"/>
    </font>
    <font>
      <vertAlign val="superscript"/>
      <sz val="9"/>
      <color indexed="12"/>
      <name val="Geneva"/>
      <family val="0"/>
    </font>
    <font>
      <sz val="9"/>
      <color indexed="53"/>
      <name val="Geneva"/>
      <family val="0"/>
    </font>
    <font>
      <vertAlign val="superscript"/>
      <sz val="9"/>
      <color indexed="53"/>
      <name val="Geneva"/>
      <family val="0"/>
    </font>
    <font>
      <sz val="9"/>
      <color indexed="10"/>
      <name val="Geneva"/>
      <family val="0"/>
    </font>
    <font>
      <vertAlign val="superscript"/>
      <sz val="9"/>
      <color indexed="10"/>
      <name val="Geneva"/>
      <family val="0"/>
    </font>
    <font>
      <sz val="9"/>
      <color indexed="15"/>
      <name val="Geneva"/>
      <family val="0"/>
    </font>
    <font>
      <vertAlign val="superscript"/>
      <sz val="9"/>
      <color indexed="15"/>
      <name val="Geneva"/>
      <family val="0"/>
    </font>
    <font>
      <sz val="9"/>
      <color indexed="14"/>
      <name val="Geneva"/>
      <family val="0"/>
    </font>
    <font>
      <vertAlign val="superscript"/>
      <sz val="9"/>
      <color indexed="14"/>
      <name val="Geneva"/>
      <family val="0"/>
    </font>
    <font>
      <sz val="9"/>
      <color indexed="52"/>
      <name val="Geneva"/>
      <family val="0"/>
    </font>
    <font>
      <vertAlign val="superscript"/>
      <sz val="9"/>
      <color indexed="52"/>
      <name val="Geneva"/>
      <family val="0"/>
    </font>
    <font>
      <sz val="9"/>
      <color indexed="48"/>
      <name val="Geneva"/>
      <family val="0"/>
    </font>
    <font>
      <vertAlign val="superscript"/>
      <sz val="9"/>
      <color indexed="48"/>
      <name val="Geneva"/>
      <family val="0"/>
    </font>
    <font>
      <sz val="9"/>
      <color indexed="17"/>
      <name val="Geneva"/>
      <family val="0"/>
    </font>
    <font>
      <vertAlign val="superscript"/>
      <sz val="9"/>
      <color indexed="17"/>
      <name val="Geneva"/>
      <family val="0"/>
    </font>
    <font>
      <sz val="9"/>
      <color indexed="21"/>
      <name val="Geneva"/>
      <family val="0"/>
    </font>
    <font>
      <b/>
      <sz val="10"/>
      <color indexed="21"/>
      <name val="Geneva"/>
      <family val="0"/>
    </font>
    <font>
      <b/>
      <sz val="9"/>
      <color indexed="21"/>
      <name val="Geneva"/>
      <family val="0"/>
    </font>
    <font>
      <b/>
      <sz val="9"/>
      <color indexed="62"/>
      <name val="Geneva"/>
      <family val="0"/>
    </font>
    <font>
      <sz val="12"/>
      <name val="Tms Rmn"/>
      <family val="0"/>
    </font>
    <font>
      <b/>
      <sz val="12"/>
      <color indexed="18"/>
      <name val="Tms Rmn"/>
      <family val="0"/>
    </font>
    <font>
      <i/>
      <sz val="12"/>
      <name val="Tms Rmn"/>
      <family val="0"/>
    </font>
    <font>
      <sz val="12"/>
      <color indexed="10"/>
      <name val="Tms Rmn"/>
      <family val="0"/>
    </font>
    <font>
      <sz val="12"/>
      <color indexed="53"/>
      <name val="Tms Rmn"/>
      <family val="0"/>
    </font>
    <font>
      <b/>
      <sz val="12"/>
      <color indexed="11"/>
      <name val="Tms Rmn"/>
      <family val="0"/>
    </font>
    <font>
      <sz val="12"/>
      <color indexed="49"/>
      <name val="Tms Rmn"/>
      <family val="0"/>
    </font>
    <font>
      <sz val="12"/>
      <color indexed="21"/>
      <name val="Tms Rmn"/>
      <family val="0"/>
    </font>
    <font>
      <b/>
      <i/>
      <sz val="12"/>
      <color indexed="19"/>
      <name val="Tms Rmn"/>
      <family val="0"/>
    </font>
    <font>
      <b/>
      <sz val="12"/>
      <name val="Tms Rmn"/>
      <family val="0"/>
    </font>
    <font>
      <u val="single"/>
      <sz val="12"/>
      <name val="Tms Rmn"/>
      <family val="0"/>
    </font>
    <font>
      <b/>
      <sz val="9"/>
      <color indexed="53"/>
      <name val="Geneva"/>
      <family val="0"/>
    </font>
    <font>
      <u val="single"/>
      <sz val="9"/>
      <name val="Geneva"/>
      <family val="0"/>
    </font>
    <font>
      <b/>
      <i/>
      <u val="single"/>
      <sz val="9"/>
      <name val="Geneva"/>
      <family val="0"/>
    </font>
    <font>
      <b/>
      <sz val="12"/>
      <color indexed="48"/>
      <name val="Geneva"/>
      <family val="0"/>
    </font>
    <font>
      <b/>
      <sz val="12"/>
      <name val="Geneva"/>
      <family val="0"/>
    </font>
    <font>
      <b/>
      <vertAlign val="superscript"/>
      <sz val="12"/>
      <name val="Geneva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5" fontId="26" fillId="0" borderId="0" xfId="0" applyNumberFormat="1" applyFont="1" applyAlignment="1">
      <alignment/>
    </xf>
    <xf numFmtId="0" fontId="34" fillId="0" borderId="0" xfId="0" applyFont="1" applyAlignment="1">
      <alignment/>
    </xf>
    <xf numFmtId="0" fontId="26" fillId="0" borderId="0" xfId="15" applyNumberFormat="1" applyFont="1" applyAlignment="1">
      <alignment/>
    </xf>
    <xf numFmtId="43" fontId="0" fillId="0" borderId="0" xfId="15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164" fontId="35" fillId="0" borderId="0" xfId="0" applyNumberFormat="1" applyFont="1" applyAlignment="1">
      <alignment/>
    </xf>
    <xf numFmtId="166" fontId="0" fillId="0" borderId="0" xfId="15" applyNumberFormat="1" applyAlignment="1">
      <alignment/>
    </xf>
    <xf numFmtId="43" fontId="26" fillId="0" borderId="0" xfId="0" applyNumberFormat="1" applyFont="1" applyAlignment="1">
      <alignment/>
    </xf>
    <xf numFmtId="9" fontId="26" fillId="0" borderId="0" xfId="19" applyFont="1" applyAlignment="1">
      <alignment/>
    </xf>
    <xf numFmtId="9" fontId="26" fillId="0" borderId="0" xfId="0" applyNumberFormat="1" applyFont="1" applyAlignment="1">
      <alignment/>
    </xf>
    <xf numFmtId="9" fontId="26" fillId="0" borderId="0" xfId="0" applyNumberFormat="1" applyFont="1" applyAlignment="1">
      <alignment horizontal="right"/>
    </xf>
    <xf numFmtId="9" fontId="33" fillId="0" borderId="0" xfId="0" applyNumberFormat="1" applyFont="1" applyAlignment="1">
      <alignment/>
    </xf>
    <xf numFmtId="166" fontId="33" fillId="0" borderId="0" xfId="15" applyNumberFormat="1" applyFont="1" applyAlignment="1">
      <alignment/>
    </xf>
    <xf numFmtId="166" fontId="33" fillId="0" borderId="0" xfId="0" applyNumberFormat="1" applyFont="1" applyAlignment="1">
      <alignment/>
    </xf>
    <xf numFmtId="9" fontId="33" fillId="0" borderId="0" xfId="19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0" fillId="0" borderId="0" xfId="0" applyFont="1" applyAlignment="1">
      <alignment/>
    </xf>
    <xf numFmtId="0" fontId="37" fillId="0" borderId="0" xfId="0" applyFont="1" applyAlignment="1">
      <alignment horizontal="left"/>
    </xf>
    <xf numFmtId="17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Bennett et al 1985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475"/>
          <c:w val="0.95225"/>
          <c:h val="0.7375"/>
        </c:manualLayout>
      </c:layout>
      <c:scatterChart>
        <c:scatterStyle val="lineMarker"/>
        <c:varyColors val="0"/>
        <c:ser>
          <c:idx val="0"/>
          <c:order val="0"/>
          <c:tx>
            <c:v>2.5 hour Cl, resting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FF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FFFF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data'!$X$70:$X$74</c:f>
              <c:numCache>
                <c:ptCount val="5"/>
                <c:pt idx="0">
                  <c:v>-1.1797601473517716</c:v>
                </c:pt>
                <c:pt idx="1">
                  <c:v>-0.49720028982847</c:v>
                </c:pt>
                <c:pt idx="2">
                  <c:v>0</c:v>
                </c:pt>
                <c:pt idx="3">
                  <c:v>0.49720028982847</c:v>
                </c:pt>
                <c:pt idx="4">
                  <c:v>1.1797601473517716</c:v>
                </c:pt>
              </c:numCache>
            </c:numRef>
          </c:xVal>
          <c:yVal>
            <c:numRef>
              <c:f>'ind. data'!$R$70:$R$74</c:f>
              <c:numCache>
                <c:ptCount val="5"/>
                <c:pt idx="0">
                  <c:v>-0.8933557567356024</c:v>
                </c:pt>
                <c:pt idx="1">
                  <c:v>-0.8933557567356024</c:v>
                </c:pt>
                <c:pt idx="2">
                  <c:v>-0.8561671620480555</c:v>
                </c:pt>
                <c:pt idx="3">
                  <c:v>-0.8561671620480555</c:v>
                </c:pt>
                <c:pt idx="4">
                  <c:v>-0.8215327424779075</c:v>
                </c:pt>
              </c:numCache>
            </c:numRef>
          </c:yVal>
          <c:smooth val="0"/>
        </c:ser>
        <c:ser>
          <c:idx val="1"/>
          <c:order val="1"/>
          <c:tx>
            <c:v>2.5 hour Cl, exercise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data'!$X$70:$X$74</c:f>
              <c:numCache>
                <c:ptCount val="5"/>
                <c:pt idx="0">
                  <c:v>-1.1797601473517716</c:v>
                </c:pt>
                <c:pt idx="1">
                  <c:v>-0.49720028982847</c:v>
                </c:pt>
                <c:pt idx="2">
                  <c:v>0</c:v>
                </c:pt>
                <c:pt idx="3">
                  <c:v>0.49720028982847</c:v>
                </c:pt>
                <c:pt idx="4">
                  <c:v>1.1797601473517716</c:v>
                </c:pt>
              </c:numCache>
            </c:numRef>
          </c:xVal>
          <c:yVal>
            <c:numRef>
              <c:f>'ind. data'!$S$70:$S$74</c:f>
              <c:numCache>
                <c:ptCount val="5"/>
                <c:pt idx="0">
                  <c:v>-0.8215327424779075</c:v>
                </c:pt>
                <c:pt idx="1">
                  <c:v>-0.6047411431410941</c:v>
                </c:pt>
                <c:pt idx="2">
                  <c:v>-0.5212818989234742</c:v>
                </c:pt>
                <c:pt idx="3">
                  <c:v>-0.5020884291715288</c:v>
                </c:pt>
                <c:pt idx="4">
                  <c:v>-0.4305515510229028</c:v>
                </c:pt>
              </c:numCache>
            </c:numRef>
          </c:yVal>
          <c:smooth val="0"/>
        </c:ser>
        <c:ser>
          <c:idx val="2"/>
          <c:order val="2"/>
          <c:tx>
            <c:v>24 hour Cl, resting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66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data'!$X$70:$X$74</c:f>
              <c:numCache>
                <c:ptCount val="5"/>
                <c:pt idx="0">
                  <c:v>-1.1797601473517716</c:v>
                </c:pt>
                <c:pt idx="1">
                  <c:v>-0.49720028982847</c:v>
                </c:pt>
                <c:pt idx="2">
                  <c:v>0</c:v>
                </c:pt>
                <c:pt idx="3">
                  <c:v>0.49720028982847</c:v>
                </c:pt>
                <c:pt idx="4">
                  <c:v>1.1797601473517716</c:v>
                </c:pt>
              </c:numCache>
            </c:numRef>
          </c:xVal>
          <c:yVal>
            <c:numRef>
              <c:f>'ind. data'!$T$70:$T$74</c:f>
              <c:numCache>
                <c:ptCount val="5"/>
                <c:pt idx="0">
                  <c:v>-0.6047411431410941</c:v>
                </c:pt>
                <c:pt idx="1">
                  <c:v>-0.5827529621780622</c:v>
                </c:pt>
                <c:pt idx="2">
                  <c:v>-0.5212818989234742</c:v>
                </c:pt>
                <c:pt idx="3">
                  <c:v>-0.39742180661083076</c:v>
                </c:pt>
                <c:pt idx="4">
                  <c:v>-0.38141282963515094</c:v>
                </c:pt>
              </c:numCache>
            </c:numRef>
          </c:yVal>
          <c:smooth val="0"/>
        </c:ser>
        <c:ser>
          <c:idx val="3"/>
          <c:order val="3"/>
          <c:tx>
            <c:v>24 hour clearance, exercise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data'!$X$70:$X$74</c:f>
              <c:numCache>
                <c:ptCount val="5"/>
                <c:pt idx="0">
                  <c:v>-1.1797601473517716</c:v>
                </c:pt>
                <c:pt idx="1">
                  <c:v>-0.49720028982847</c:v>
                </c:pt>
                <c:pt idx="2">
                  <c:v>0</c:v>
                </c:pt>
                <c:pt idx="3">
                  <c:v>0.49720028982847</c:v>
                </c:pt>
                <c:pt idx="4">
                  <c:v>1.1797601473517716</c:v>
                </c:pt>
              </c:numCache>
            </c:numRef>
          </c:xVal>
          <c:yVal>
            <c:numRef>
              <c:f>'ind. data'!$U$70:$U$74</c:f>
              <c:numCache>
                <c:ptCount val="5"/>
                <c:pt idx="0">
                  <c:v>-0.4834592493840182</c:v>
                </c:pt>
                <c:pt idx="1">
                  <c:v>-0.350385663771713</c:v>
                </c:pt>
                <c:pt idx="2">
                  <c:v>-0.350385663771713</c:v>
                </c:pt>
                <c:pt idx="3">
                  <c:v>-0.21028807498930588</c:v>
                </c:pt>
                <c:pt idx="4">
                  <c:v>-0.197309535616827</c:v>
                </c:pt>
              </c:numCache>
            </c:numRef>
          </c:yVal>
          <c:smooth val="0"/>
        </c:ser>
        <c:axId val="19893707"/>
        <c:axId val="44825636"/>
      </c:scatterChart>
      <c:valAx>
        <c:axId val="1989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5636"/>
        <c:crossesAt val="-1"/>
        <c:crossBetween val="midCat"/>
        <c:dispUnits/>
      </c:valAx>
      <c:valAx>
        <c:axId val="4482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log(-ln(1-Cl))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At val="-1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"/>
          <c:y val="0.89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0.00"/>
            </c:trendlineLbl>
          </c:trendline>
          <c:xVal>
            <c:numRef>
              <c:f>'combined estimates'!$F$71:$F$78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2.6</c:v>
                </c:pt>
                <c:pt idx="5">
                  <c:v>3.5</c:v>
                </c:pt>
                <c:pt idx="6">
                  <c:v>4.5</c:v>
                </c:pt>
                <c:pt idx="7">
                  <c:v>5.5</c:v>
                </c:pt>
              </c:numCache>
            </c:numRef>
          </c:xVal>
          <c:yVal>
            <c:numRef>
              <c:f>'combined estimates'!$B$71:$B$78</c:f>
              <c:numCache>
                <c:ptCount val="8"/>
                <c:pt idx="0">
                  <c:v>0.3626</c:v>
                </c:pt>
                <c:pt idx="1">
                  <c:v>0.3606</c:v>
                </c:pt>
                <c:pt idx="2">
                  <c:v>0.2439</c:v>
                </c:pt>
                <c:pt idx="3">
                  <c:v>0.4127</c:v>
                </c:pt>
                <c:pt idx="4">
                  <c:v>0.0762</c:v>
                </c:pt>
                <c:pt idx="5">
                  <c:v>0.221</c:v>
                </c:pt>
                <c:pt idx="6">
                  <c:v>0.1682</c:v>
                </c:pt>
                <c:pt idx="7">
                  <c:v>0.165</c:v>
                </c:pt>
              </c:numCache>
            </c:numRef>
          </c:yVal>
          <c:smooth val="0"/>
        </c:ser>
        <c:axId val="32177557"/>
        <c:axId val="21162558"/>
      </c:scatterChart>
      <c:val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particle size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2558"/>
        <c:crosses val="autoZero"/>
        <c:crossBetween val="midCat"/>
        <c:dispUnits/>
      </c:val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logGSD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775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Lippman and Albert: 1-3 micron particles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 hour clearance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99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99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data'!$T$90:$T$95</c:f>
              <c:numCache>
                <c:ptCount val="6"/>
                <c:pt idx="0">
                  <c:v>-1.2815507943741977</c:v>
                </c:pt>
                <c:pt idx="1">
                  <c:v>-0.6433447197196074</c:v>
                </c:pt>
                <c:pt idx="2">
                  <c:v>-0.20189418137306347</c:v>
                </c:pt>
                <c:pt idx="3">
                  <c:v>0.20189418137306347</c:v>
                </c:pt>
                <c:pt idx="4">
                  <c:v>0.6433447197196074</c:v>
                </c:pt>
                <c:pt idx="5">
                  <c:v>1.2815507943741977</c:v>
                </c:pt>
              </c:numCache>
            </c:numRef>
          </c:xVal>
          <c:yVal>
            <c:numRef>
              <c:f>'ind. data'!$P$90:$P$95</c:f>
              <c:numCache>
                <c:ptCount val="6"/>
                <c:pt idx="0">
                  <c:v>-0.7890960470073316</c:v>
                </c:pt>
                <c:pt idx="1">
                  <c:v>-0.6275992682798079</c:v>
                </c:pt>
                <c:pt idx="2">
                  <c:v>-0.6275992682798079</c:v>
                </c:pt>
                <c:pt idx="3">
                  <c:v>-0.31082729706517465</c:v>
                </c:pt>
                <c:pt idx="4">
                  <c:v>-0.2300416656000141</c:v>
                </c:pt>
                <c:pt idx="5">
                  <c:v>-0.04983085628145465</c:v>
                </c:pt>
              </c:numCache>
            </c:numRef>
          </c:yVal>
          <c:smooth val="0"/>
        </c:ser>
        <c:ser>
          <c:idx val="1"/>
          <c:order val="1"/>
          <c:tx>
            <c:v>24 hour clearance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data'!$T$90:$T$95</c:f>
              <c:numCache>
                <c:ptCount val="6"/>
                <c:pt idx="0">
                  <c:v>-1.2815507943741977</c:v>
                </c:pt>
                <c:pt idx="1">
                  <c:v>-0.6433447197196074</c:v>
                </c:pt>
                <c:pt idx="2">
                  <c:v>-0.20189418137306347</c:v>
                </c:pt>
                <c:pt idx="3">
                  <c:v>0.20189418137306347</c:v>
                </c:pt>
                <c:pt idx="4">
                  <c:v>0.6433447197196074</c:v>
                </c:pt>
                <c:pt idx="5">
                  <c:v>1.2815507943741977</c:v>
                </c:pt>
              </c:numCache>
            </c:numRef>
          </c:xVal>
          <c:yVal>
            <c:numRef>
              <c:f>'ind. data'!$Q$90:$Q$95</c:f>
              <c:numCache>
                <c:ptCount val="6"/>
                <c:pt idx="0">
                  <c:v>-0.5827529621780622</c:v>
                </c:pt>
                <c:pt idx="1">
                  <c:v>-0.2917273260110778</c:v>
                </c:pt>
                <c:pt idx="2">
                  <c:v>-0.2917273260110778</c:v>
                </c:pt>
                <c:pt idx="3">
                  <c:v>-0.2547003100517941</c:v>
                </c:pt>
                <c:pt idx="4">
                  <c:v>-0.061730232328503144</c:v>
                </c:pt>
                <c:pt idx="5">
                  <c:v>-0.04983085628145465</c:v>
                </c:pt>
              </c:numCache>
            </c:numRef>
          </c:yVal>
          <c:smooth val="0"/>
        </c:ser>
        <c:axId val="777541"/>
        <c:axId val="6997870"/>
      </c:scatterChart>
      <c:valAx>
        <c:axId val="77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97870"/>
        <c:crossesAt val="-0.9"/>
        <c:crossBetween val="midCat"/>
        <c:dispUnits/>
      </c:valAx>
      <c:valAx>
        <c:axId val="6997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log(-ln(1-Cl))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541"/>
        <c:crossesAt val="-1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Lippman and Albert: 4-5 micron particles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 hour clearance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99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99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data'!$T$133:$T$152</c:f>
              <c:numCache>
                <c:ptCount val="20"/>
                <c:pt idx="0">
                  <c:v>-1.8682385416468605</c:v>
                </c:pt>
                <c:pt idx="1">
                  <c:v>-1.4034139894647524</c:v>
                </c:pt>
                <c:pt idx="2">
                  <c:v>-1.1281440492894035</c:v>
                </c:pt>
                <c:pt idx="3">
                  <c:v>-0.9191353456117213</c:v>
                </c:pt>
                <c:pt idx="4">
                  <c:v>-0.7441417437803466</c:v>
                </c:pt>
                <c:pt idx="5">
                  <c:v>-0.589454884902807</c:v>
                </c:pt>
                <c:pt idx="6">
                  <c:v>-0.4477669790503569</c:v>
                </c:pt>
                <c:pt idx="7">
                  <c:v>-0.31457261684408877</c:v>
                </c:pt>
                <c:pt idx="8">
                  <c:v>-0.18675564206205308</c:v>
                </c:pt>
                <c:pt idx="9">
                  <c:v>-0.06193204171722755</c:v>
                </c:pt>
                <c:pt idx="10">
                  <c:v>0.06193204171722755</c:v>
                </c:pt>
                <c:pt idx="11">
                  <c:v>0.18675564206205308</c:v>
                </c:pt>
                <c:pt idx="12">
                  <c:v>0.31457261684408877</c:v>
                </c:pt>
                <c:pt idx="13">
                  <c:v>0.4477669790503569</c:v>
                </c:pt>
                <c:pt idx="14">
                  <c:v>0.589454884902807</c:v>
                </c:pt>
                <c:pt idx="15">
                  <c:v>0.7441417437803466</c:v>
                </c:pt>
                <c:pt idx="16">
                  <c:v>0.9191353456117213</c:v>
                </c:pt>
                <c:pt idx="17">
                  <c:v>1.1281440492894035</c:v>
                </c:pt>
                <c:pt idx="18">
                  <c:v>1.4034139894647524</c:v>
                </c:pt>
                <c:pt idx="19">
                  <c:v>1.8682385416468605</c:v>
                </c:pt>
              </c:numCache>
            </c:numRef>
          </c:xVal>
          <c:yVal>
            <c:numRef>
              <c:f>'ind. data'!$P$133:$P$152</c:f>
              <c:numCache>
                <c:ptCount val="20"/>
                <c:pt idx="0">
                  <c:v>-0.1591745389548616</c:v>
                </c:pt>
                <c:pt idx="1">
                  <c:v>-0.03796670622803395</c:v>
                </c:pt>
                <c:pt idx="2">
                  <c:v>0.03294482715954138</c:v>
                </c:pt>
                <c:pt idx="3">
                  <c:v>0.06862475301327431</c:v>
                </c:pt>
                <c:pt idx="4">
                  <c:v>0.06862475301327431</c:v>
                </c:pt>
                <c:pt idx="5">
                  <c:v>0.10481669351537554</c:v>
                </c:pt>
                <c:pt idx="6">
                  <c:v>0.20667422749111897</c:v>
                </c:pt>
                <c:pt idx="7">
                  <c:v>0.20667422749111897</c:v>
                </c:pt>
                <c:pt idx="8">
                  <c:v>0.20667422749111897</c:v>
                </c:pt>
                <c:pt idx="9">
                  <c:v>0.2134528657422765</c:v>
                </c:pt>
                <c:pt idx="10">
                  <c:v>0.22029934657507477</c:v>
                </c:pt>
                <c:pt idx="11">
                  <c:v>0.24845313993303417</c:v>
                </c:pt>
                <c:pt idx="12">
                  <c:v>0.24845313993303417</c:v>
                </c:pt>
                <c:pt idx="13">
                  <c:v>0.2780947990626133</c:v>
                </c:pt>
                <c:pt idx="14">
                  <c:v>0.2780947990626133</c:v>
                </c:pt>
                <c:pt idx="15">
                  <c:v>0.29360844304507566</c:v>
                </c:pt>
                <c:pt idx="16">
                  <c:v>0.326389844515692</c:v>
                </c:pt>
                <c:pt idx="17">
                  <c:v>0.36221568869946325</c:v>
                </c:pt>
                <c:pt idx="18">
                  <c:v>0.4023866896041339</c:v>
                </c:pt>
                <c:pt idx="19">
                  <c:v>0.5077042231551</c:v>
                </c:pt>
              </c:numCache>
            </c:numRef>
          </c:yVal>
          <c:smooth val="0"/>
        </c:ser>
        <c:ser>
          <c:idx val="1"/>
          <c:order val="1"/>
          <c:tx>
            <c:v>24 hour clearance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data'!$T$133:$T$152</c:f>
              <c:numCache>
                <c:ptCount val="20"/>
                <c:pt idx="0">
                  <c:v>-1.8682385416468605</c:v>
                </c:pt>
                <c:pt idx="1">
                  <c:v>-1.4034139894647524</c:v>
                </c:pt>
                <c:pt idx="2">
                  <c:v>-1.1281440492894035</c:v>
                </c:pt>
                <c:pt idx="3">
                  <c:v>-0.9191353456117213</c:v>
                </c:pt>
                <c:pt idx="4">
                  <c:v>-0.7441417437803466</c:v>
                </c:pt>
                <c:pt idx="5">
                  <c:v>-0.589454884902807</c:v>
                </c:pt>
                <c:pt idx="6">
                  <c:v>-0.4477669790503569</c:v>
                </c:pt>
                <c:pt idx="7">
                  <c:v>-0.31457261684408877</c:v>
                </c:pt>
                <c:pt idx="8">
                  <c:v>-0.18675564206205308</c:v>
                </c:pt>
                <c:pt idx="9">
                  <c:v>-0.06193204171722755</c:v>
                </c:pt>
                <c:pt idx="10">
                  <c:v>0.06193204171722755</c:v>
                </c:pt>
                <c:pt idx="11">
                  <c:v>0.18675564206205308</c:v>
                </c:pt>
                <c:pt idx="12">
                  <c:v>0.31457261684408877</c:v>
                </c:pt>
                <c:pt idx="13">
                  <c:v>0.4477669790503569</c:v>
                </c:pt>
                <c:pt idx="14">
                  <c:v>0.589454884902807</c:v>
                </c:pt>
                <c:pt idx="15">
                  <c:v>0.7441417437803466</c:v>
                </c:pt>
                <c:pt idx="16">
                  <c:v>0.9191353456117213</c:v>
                </c:pt>
                <c:pt idx="17">
                  <c:v>1.1281440492894035</c:v>
                </c:pt>
                <c:pt idx="18">
                  <c:v>1.4034139894647524</c:v>
                </c:pt>
                <c:pt idx="19">
                  <c:v>1.8682385416468605</c:v>
                </c:pt>
              </c:numCache>
            </c:numRef>
          </c:xVal>
          <c:yVal>
            <c:numRef>
              <c:f>'ind. data'!$Q$133:$Q$152</c:f>
              <c:numCache>
                <c:ptCount val="20"/>
                <c:pt idx="0">
                  <c:v>-0.1591745389548616</c:v>
                </c:pt>
                <c:pt idx="1">
                  <c:v>0.040844452568920595</c:v>
                </c:pt>
                <c:pt idx="2">
                  <c:v>0.15445938345268856</c:v>
                </c:pt>
                <c:pt idx="3">
                  <c:v>0.15445938345268856</c:v>
                </c:pt>
                <c:pt idx="4">
                  <c:v>0.1801625140255562</c:v>
                </c:pt>
                <c:pt idx="5">
                  <c:v>0.20667422749111897</c:v>
                </c:pt>
                <c:pt idx="6">
                  <c:v>0.24845313993303417</c:v>
                </c:pt>
                <c:pt idx="7">
                  <c:v>0.26306328943594737</c:v>
                </c:pt>
                <c:pt idx="8">
                  <c:v>0.2780947990626133</c:v>
                </c:pt>
                <c:pt idx="9">
                  <c:v>0.326389844515692</c:v>
                </c:pt>
                <c:pt idx="10">
                  <c:v>0.36221568869946325</c:v>
                </c:pt>
                <c:pt idx="11">
                  <c:v>0.36221568869946325</c:v>
                </c:pt>
                <c:pt idx="12">
                  <c:v>0.36221568869946325</c:v>
                </c:pt>
                <c:pt idx="13">
                  <c:v>0.38164667273149216</c:v>
                </c:pt>
                <c:pt idx="14">
                  <c:v>0.4023866896041339</c:v>
                </c:pt>
                <c:pt idx="15">
                  <c:v>0.47650299817509745</c:v>
                </c:pt>
                <c:pt idx="16">
                  <c:v>0.47650299817509745</c:v>
                </c:pt>
                <c:pt idx="17">
                  <c:v>0.5448810139973854</c:v>
                </c:pt>
                <c:pt idx="18">
                  <c:v>0.5924014000780177</c:v>
                </c:pt>
              </c:numCache>
            </c:numRef>
          </c:yVal>
          <c:smooth val="0"/>
        </c:ser>
        <c:axId val="62980831"/>
        <c:axId val="29956568"/>
      </c:scatterChart>
      <c:val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56568"/>
        <c:crossesAt val="-0.3"/>
        <c:crossBetween val="midCat"/>
        <c:dispUnits/>
      </c:val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log(-ln(1-Cl))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At val="-2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Lippman and Albert: 5-6 micron particles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10 hour clearance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data'!$T$160:$T$181</c:f>
              <c:numCache>
                <c:ptCount val="22"/>
                <c:pt idx="0">
                  <c:v>-1.9096387404715642</c:v>
                </c:pt>
                <c:pt idx="1">
                  <c:v>-1.4535635273205116</c:v>
                </c:pt>
                <c:pt idx="2">
                  <c:v>-1.185157998406794</c:v>
                </c:pt>
                <c:pt idx="3">
                  <c:v>-0.9825225788517855</c:v>
                </c:pt>
                <c:pt idx="4">
                  <c:v>-0.8138499651977327</c:v>
                </c:pt>
                <c:pt idx="5">
                  <c:v>-0.6656762252532644</c:v>
                </c:pt>
                <c:pt idx="6">
                  <c:v>-0.5308743311616126</c:v>
                </c:pt>
                <c:pt idx="7">
                  <c:v>-0.405113951273961</c:v>
                </c:pt>
                <c:pt idx="8">
                  <c:v>-0.28547447072924115</c:v>
                </c:pt>
                <c:pt idx="9">
                  <c:v>-0.16979811334749684</c:v>
                </c:pt>
                <c:pt idx="10">
                  <c:v>-0.05635911293211393</c:v>
                </c:pt>
                <c:pt idx="11">
                  <c:v>0.05635911293211393</c:v>
                </c:pt>
                <c:pt idx="12">
                  <c:v>0.16979811334749684</c:v>
                </c:pt>
                <c:pt idx="13">
                  <c:v>0.28547447072924115</c:v>
                </c:pt>
                <c:pt idx="14">
                  <c:v>0.405113951273961</c:v>
                </c:pt>
                <c:pt idx="15">
                  <c:v>0.5308743311616126</c:v>
                </c:pt>
                <c:pt idx="16">
                  <c:v>0.6656762252532644</c:v>
                </c:pt>
                <c:pt idx="17">
                  <c:v>0.8138499651977327</c:v>
                </c:pt>
                <c:pt idx="18">
                  <c:v>0.9825225788517855</c:v>
                </c:pt>
                <c:pt idx="19">
                  <c:v>1.185157998406794</c:v>
                </c:pt>
                <c:pt idx="20">
                  <c:v>1.4535635273205116</c:v>
                </c:pt>
                <c:pt idx="21">
                  <c:v>1.9096387404715642</c:v>
                </c:pt>
              </c:numCache>
            </c:numRef>
          </c:xVal>
          <c:yVal>
            <c:numRef>
              <c:f>'ind. data'!$P$160:$P$181</c:f>
              <c:numCache>
                <c:ptCount val="22"/>
                <c:pt idx="0">
                  <c:v>-0.197309535616827</c:v>
                </c:pt>
                <c:pt idx="1">
                  <c:v>-0.09772089366600901</c:v>
                </c:pt>
                <c:pt idx="2">
                  <c:v>-0.03796670622803395</c:v>
                </c:pt>
                <c:pt idx="3">
                  <c:v>-0.03796670622803395</c:v>
                </c:pt>
                <c:pt idx="4">
                  <c:v>0.00930266965290335</c:v>
                </c:pt>
                <c:pt idx="5">
                  <c:v>0.20667422749111897</c:v>
                </c:pt>
                <c:pt idx="6">
                  <c:v>0.20667422749111897</c:v>
                </c:pt>
                <c:pt idx="7">
                  <c:v>0.23421307673309275</c:v>
                </c:pt>
                <c:pt idx="8">
                  <c:v>0.23421307673309275</c:v>
                </c:pt>
                <c:pt idx="9">
                  <c:v>0.23421307673309294</c:v>
                </c:pt>
                <c:pt idx="10">
                  <c:v>0.26306328943594726</c:v>
                </c:pt>
                <c:pt idx="11">
                  <c:v>0.26306328943594726</c:v>
                </c:pt>
                <c:pt idx="12">
                  <c:v>0.2780947990626133</c:v>
                </c:pt>
                <c:pt idx="13">
                  <c:v>0.2780947990626133</c:v>
                </c:pt>
                <c:pt idx="14">
                  <c:v>0.2780947990626133</c:v>
                </c:pt>
                <c:pt idx="15">
                  <c:v>0.343856427337392</c:v>
                </c:pt>
                <c:pt idx="16">
                  <c:v>0.343856427337392</c:v>
                </c:pt>
                <c:pt idx="17">
                  <c:v>0.36221568869946325</c:v>
                </c:pt>
                <c:pt idx="18">
                  <c:v>0.4023866896041339</c:v>
                </c:pt>
                <c:pt idx="19">
                  <c:v>0.4023866896041339</c:v>
                </c:pt>
                <c:pt idx="20">
                  <c:v>0.47650299817509745</c:v>
                </c:pt>
                <c:pt idx="21">
                  <c:v>0.47650299817509745</c:v>
                </c:pt>
              </c:numCache>
            </c:numRef>
          </c:yVal>
          <c:smooth val="0"/>
        </c:ser>
        <c:ser>
          <c:idx val="1"/>
          <c:order val="1"/>
          <c:tx>
            <c:v>24 hour clearance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data'!$T$160:$T$181</c:f>
              <c:numCache>
                <c:ptCount val="22"/>
                <c:pt idx="0">
                  <c:v>-1.9096387404715642</c:v>
                </c:pt>
                <c:pt idx="1">
                  <c:v>-1.4535635273205116</c:v>
                </c:pt>
                <c:pt idx="2">
                  <c:v>-1.185157998406794</c:v>
                </c:pt>
                <c:pt idx="3">
                  <c:v>-0.9825225788517855</c:v>
                </c:pt>
                <c:pt idx="4">
                  <c:v>-0.8138499651977327</c:v>
                </c:pt>
                <c:pt idx="5">
                  <c:v>-0.6656762252532644</c:v>
                </c:pt>
                <c:pt idx="6">
                  <c:v>-0.5308743311616126</c:v>
                </c:pt>
                <c:pt idx="7">
                  <c:v>-0.405113951273961</c:v>
                </c:pt>
                <c:pt idx="8">
                  <c:v>-0.28547447072924115</c:v>
                </c:pt>
                <c:pt idx="9">
                  <c:v>-0.16979811334749684</c:v>
                </c:pt>
                <c:pt idx="10">
                  <c:v>-0.05635911293211393</c:v>
                </c:pt>
                <c:pt idx="11">
                  <c:v>0.05635911293211393</c:v>
                </c:pt>
                <c:pt idx="12">
                  <c:v>0.16979811334749684</c:v>
                </c:pt>
                <c:pt idx="13">
                  <c:v>0.28547447072924115</c:v>
                </c:pt>
                <c:pt idx="14">
                  <c:v>0.405113951273961</c:v>
                </c:pt>
                <c:pt idx="15">
                  <c:v>0.5308743311616126</c:v>
                </c:pt>
                <c:pt idx="16">
                  <c:v>0.6656762252532644</c:v>
                </c:pt>
                <c:pt idx="17">
                  <c:v>0.8138499651977327</c:v>
                </c:pt>
                <c:pt idx="18">
                  <c:v>0.9825225788517855</c:v>
                </c:pt>
                <c:pt idx="19">
                  <c:v>1.185157998406794</c:v>
                </c:pt>
                <c:pt idx="20">
                  <c:v>1.4535635273205116</c:v>
                </c:pt>
                <c:pt idx="21">
                  <c:v>1.9096387404715642</c:v>
                </c:pt>
              </c:numCache>
            </c:numRef>
          </c:xVal>
          <c:yVal>
            <c:numRef>
              <c:f>'ind. data'!$Q$160:$Q$181</c:f>
              <c:numCache>
                <c:ptCount val="22"/>
                <c:pt idx="0">
                  <c:v>-0.03796670622803395</c:v>
                </c:pt>
                <c:pt idx="1">
                  <c:v>0.0211157210768562</c:v>
                </c:pt>
                <c:pt idx="2">
                  <c:v>0.08061667706751091</c:v>
                </c:pt>
                <c:pt idx="3">
                  <c:v>0.23421307673309275</c:v>
                </c:pt>
                <c:pt idx="4">
                  <c:v>0.23421307673309275</c:v>
                </c:pt>
                <c:pt idx="5">
                  <c:v>0.24845313993303417</c:v>
                </c:pt>
                <c:pt idx="6">
                  <c:v>0.2780947990626133</c:v>
                </c:pt>
                <c:pt idx="7">
                  <c:v>0.30967717694555646</c:v>
                </c:pt>
                <c:pt idx="8">
                  <c:v>0.30967717694555646</c:v>
                </c:pt>
                <c:pt idx="9">
                  <c:v>0.326389844515692</c:v>
                </c:pt>
                <c:pt idx="10">
                  <c:v>0.343856427337392</c:v>
                </c:pt>
                <c:pt idx="11">
                  <c:v>0.343856427337392</c:v>
                </c:pt>
                <c:pt idx="12">
                  <c:v>0.36221568869946325</c:v>
                </c:pt>
                <c:pt idx="13">
                  <c:v>0.36221568869946325</c:v>
                </c:pt>
                <c:pt idx="14">
                  <c:v>0.36221568869946325</c:v>
                </c:pt>
                <c:pt idx="15">
                  <c:v>0.37503740644406475</c:v>
                </c:pt>
                <c:pt idx="16">
                  <c:v>0.4023866896041339</c:v>
                </c:pt>
                <c:pt idx="17">
                  <c:v>0.4023866896041339</c:v>
                </c:pt>
                <c:pt idx="18">
                  <c:v>0.47650299817509745</c:v>
                </c:pt>
                <c:pt idx="19">
                  <c:v>0.47650299817509745</c:v>
                </c:pt>
                <c:pt idx="20">
                  <c:v>0.5077042231551</c:v>
                </c:pt>
              </c:numCache>
            </c:numRef>
          </c:yVal>
          <c:smooth val="0"/>
        </c:ser>
        <c:axId val="1173657"/>
        <c:axId val="10562914"/>
      </c:scatterChart>
      <c:valAx>
        <c:axId val="1173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62914"/>
        <c:crossesAt val="-0.3"/>
        <c:crossBetween val="midCat"/>
        <c:dispUnits/>
      </c:valAx>
      <c:valAx>
        <c:axId val="10562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log(-ln(1-Cl))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657"/>
        <c:crossesAt val="-2.5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Laube et al 1986: asthmatics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45"/>
          <c:w val="0.87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day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data'!$L$26:$L$32</c:f>
              <c:numCache>
                <c:ptCount val="7"/>
                <c:pt idx="0">
                  <c:v>-0.8524943950760644</c:v>
                </c:pt>
                <c:pt idx="1">
                  <c:v>-0.4727894520328846</c:v>
                </c:pt>
                <c:pt idx="2">
                  <c:v>-0.15250634533003904</c:v>
                </c:pt>
                <c:pt idx="3">
                  <c:v>0.15250634533003904</c:v>
                </c:pt>
                <c:pt idx="4">
                  <c:v>0.4727894520328846</c:v>
                </c:pt>
                <c:pt idx="5">
                  <c:v>0.8524943950760644</c:v>
                </c:pt>
                <c:pt idx="6">
                  <c:v>1.434200385119766</c:v>
                </c:pt>
              </c:numCache>
            </c:numRef>
          </c:xVal>
          <c:yVal>
            <c:numRef>
              <c:f>'ind. data'!$I$26:$I$32</c:f>
              <c:numCache>
                <c:ptCount val="7"/>
                <c:pt idx="0">
                  <c:v>-1.2899394068342664</c:v>
                </c:pt>
                <c:pt idx="1">
                  <c:v>-1.208481954410445</c:v>
                </c:pt>
                <c:pt idx="2">
                  <c:v>-0.9335480310130718</c:v>
                </c:pt>
                <c:pt idx="3">
                  <c:v>-0.8561671620480555</c:v>
                </c:pt>
                <c:pt idx="4">
                  <c:v>-0.8215327424779075</c:v>
                </c:pt>
                <c:pt idx="5">
                  <c:v>-0.7890960470073316</c:v>
                </c:pt>
                <c:pt idx="6">
                  <c:v>-0.7297181991792839</c:v>
                </c:pt>
              </c:numCache>
            </c:numRef>
          </c:yVal>
          <c:smooth val="0"/>
        </c:ser>
        <c:ser>
          <c:idx val="1"/>
          <c:order val="1"/>
          <c:tx>
            <c:v>day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66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data'!$L$26:$L$32</c:f>
              <c:numCache>
                <c:ptCount val="7"/>
                <c:pt idx="0">
                  <c:v>-0.8524943950760644</c:v>
                </c:pt>
                <c:pt idx="1">
                  <c:v>-0.4727894520328846</c:v>
                </c:pt>
                <c:pt idx="2">
                  <c:v>-0.15250634533003904</c:v>
                </c:pt>
                <c:pt idx="3">
                  <c:v>0.15250634533003904</c:v>
                </c:pt>
                <c:pt idx="4">
                  <c:v>0.4727894520328846</c:v>
                </c:pt>
                <c:pt idx="5">
                  <c:v>0.8524943950760644</c:v>
                </c:pt>
                <c:pt idx="6">
                  <c:v>1.434200385119766</c:v>
                </c:pt>
              </c:numCache>
            </c:numRef>
          </c:xVal>
          <c:yVal>
            <c:numRef>
              <c:f>'ind. data'!$H$26:$H$32</c:f>
              <c:numCache>
                <c:ptCount val="7"/>
                <c:pt idx="0">
                  <c:v>-1.2899394068342664</c:v>
                </c:pt>
                <c:pt idx="1">
                  <c:v>-1.0789297289433515</c:v>
                </c:pt>
                <c:pt idx="2">
                  <c:v>-1.02543912621473</c:v>
                </c:pt>
                <c:pt idx="3">
                  <c:v>-0.7890960470073316</c:v>
                </c:pt>
                <c:pt idx="4">
                  <c:v>-0.7023468424276733</c:v>
                </c:pt>
                <c:pt idx="5">
                  <c:v>-0.2917273260110778</c:v>
                </c:pt>
                <c:pt idx="6">
                  <c:v>-0.2234172095263945</c:v>
                </c:pt>
              </c:numCache>
            </c:numRef>
          </c:yVal>
          <c:smooth val="0"/>
        </c:ser>
        <c:axId val="27957363"/>
        <c:axId val="50289676"/>
      </c:scatterChart>
      <c:valAx>
        <c:axId val="27957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89676"/>
        <c:crossesAt val="-1.4"/>
        <c:crossBetween val="midCat"/>
        <c:dispUnits/>
      </c:valAx>
      <c:valAx>
        <c:axId val="5028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log(-ln(1-97minCL)))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57363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Laube et al: normal subjects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day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data'!$L$49:$L$53</c:f>
              <c:numCache>
                <c:ptCount val="5"/>
                <c:pt idx="0">
                  <c:v>-0.6433447197196074</c:v>
                </c:pt>
                <c:pt idx="1">
                  <c:v>-0.20189418137306347</c:v>
                </c:pt>
                <c:pt idx="2">
                  <c:v>0.20189418137306347</c:v>
                </c:pt>
                <c:pt idx="3">
                  <c:v>0.6433447197196074</c:v>
                </c:pt>
                <c:pt idx="4">
                  <c:v>1.2815507943741977</c:v>
                </c:pt>
              </c:numCache>
            </c:numRef>
          </c:xVal>
          <c:yVal>
            <c:numRef>
              <c:f>'ind. data'!$H$49:$H$53</c:f>
              <c:numCache>
                <c:ptCount val="5"/>
                <c:pt idx="0">
                  <c:v>-1.2899394068342664</c:v>
                </c:pt>
                <c:pt idx="1">
                  <c:v>-1.208481954410445</c:v>
                </c:pt>
                <c:pt idx="2">
                  <c:v>-1.0789297289433515</c:v>
                </c:pt>
                <c:pt idx="3">
                  <c:v>-0.9773221125071639</c:v>
                </c:pt>
                <c:pt idx="4">
                  <c:v>-0.8933557567356024</c:v>
                </c:pt>
              </c:numCache>
            </c:numRef>
          </c:yVal>
          <c:smooth val="0"/>
        </c:ser>
        <c:ser>
          <c:idx val="1"/>
          <c:order val="1"/>
          <c:tx>
            <c:v>day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FF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  <a:latin typeface="Geneva"/>
                      <a:ea typeface="Geneva"/>
                      <a:cs typeface="Geneva"/>
                    </a:defRPr>
                  </a:pPr>
                </a:p>
              </c:txPr>
              <c:numFmt formatCode="General"/>
            </c:trendlineLbl>
          </c:trendline>
          <c:xVal>
            <c:numRef>
              <c:f>'ind. data'!$L$49:$L$53</c:f>
              <c:numCache>
                <c:ptCount val="5"/>
                <c:pt idx="0">
                  <c:v>-0.6433447197196074</c:v>
                </c:pt>
                <c:pt idx="1">
                  <c:v>-0.20189418137306347</c:v>
                </c:pt>
                <c:pt idx="2">
                  <c:v>0.20189418137306347</c:v>
                </c:pt>
                <c:pt idx="3">
                  <c:v>0.6433447197196074</c:v>
                </c:pt>
                <c:pt idx="4">
                  <c:v>1.2815507943741977</c:v>
                </c:pt>
              </c:numCache>
            </c:numRef>
          </c:xVal>
          <c:yVal>
            <c:numRef>
              <c:f>'ind. data'!$I$49:$I$53</c:f>
              <c:numCache>
                <c:ptCount val="5"/>
                <c:pt idx="0">
                  <c:v>-1.6945904278665125</c:v>
                </c:pt>
                <c:pt idx="1">
                  <c:v>-1.6945904278665125</c:v>
                </c:pt>
                <c:pt idx="2">
                  <c:v>-1.1392387306746987</c:v>
                </c:pt>
                <c:pt idx="3">
                  <c:v>-0.9773221125071639</c:v>
                </c:pt>
                <c:pt idx="4">
                  <c:v>-0.9335480310130718</c:v>
                </c:pt>
              </c:numCache>
            </c:numRef>
          </c:yVal>
          <c:smooth val="0"/>
        </c:ser>
        <c:axId val="49953901"/>
        <c:axId val="46931926"/>
      </c:scatterChart>
      <c:valAx>
        <c:axId val="49953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 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31926"/>
        <c:crossesAt val="-1.8"/>
        <c:crossBetween val="midCat"/>
        <c:dispUnits/>
      </c:valAx>
      <c:valAx>
        <c:axId val="46931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log(-ln(1-97min Cl))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53901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Laurenco et al 1972: subjects with bronchiectasis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FF"/>
              </a:solidFill>
              <a:ln>
                <a:solidFill>
                  <a:srgbClr val="660066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'ind. data'!$P$6:$P$17</c:f>
              <c:numCache>
                <c:ptCount val="12"/>
                <c:pt idx="0">
                  <c:v>-1.7075535652111284</c:v>
                </c:pt>
                <c:pt idx="1">
                  <c:v>-1.205344233312644</c:v>
                </c:pt>
                <c:pt idx="2">
                  <c:v>-0.8994356903713197</c:v>
                </c:pt>
                <c:pt idx="3">
                  <c:v>-0.6607501745747868</c:v>
                </c:pt>
                <c:pt idx="4">
                  <c:v>-0.45498154577217065</c:v>
                </c:pt>
                <c:pt idx="5">
                  <c:v>-0.26699353838921525</c:v>
                </c:pt>
                <c:pt idx="6">
                  <c:v>-0.08806523510429543</c:v>
                </c:pt>
                <c:pt idx="7">
                  <c:v>0.08806523510429543</c:v>
                </c:pt>
                <c:pt idx="8">
                  <c:v>0.26699353838921525</c:v>
                </c:pt>
                <c:pt idx="9">
                  <c:v>0.45498154577217065</c:v>
                </c:pt>
                <c:pt idx="10">
                  <c:v>0.6607501745747868</c:v>
                </c:pt>
                <c:pt idx="11">
                  <c:v>0.8994356903713197</c:v>
                </c:pt>
              </c:numCache>
            </c:numRef>
          </c:xVal>
          <c:yVal>
            <c:numRef>
              <c:f>'ind. data'!$M$6:$M$17</c:f>
              <c:numCache>
                <c:ptCount val="12"/>
                <c:pt idx="0">
                  <c:v>-1.02543912621473</c:v>
                </c:pt>
                <c:pt idx="1">
                  <c:v>-0.2234172095263945</c:v>
                </c:pt>
                <c:pt idx="2">
                  <c:v>-0.002503407332609969</c:v>
                </c:pt>
                <c:pt idx="3">
                  <c:v>0.08061667706751091</c:v>
                </c:pt>
                <c:pt idx="4">
                  <c:v>0.10481669351537554</c:v>
                </c:pt>
                <c:pt idx="5">
                  <c:v>0.11705021996731295</c:v>
                </c:pt>
                <c:pt idx="6">
                  <c:v>0.15445938345268856</c:v>
                </c:pt>
                <c:pt idx="7">
                  <c:v>0.16722159330090347</c:v>
                </c:pt>
                <c:pt idx="8">
                  <c:v>0.22029934657507477</c:v>
                </c:pt>
                <c:pt idx="9">
                  <c:v>0.24845313993303417</c:v>
                </c:pt>
                <c:pt idx="10">
                  <c:v>0.29360844304507566</c:v>
                </c:pt>
                <c:pt idx="11">
                  <c:v>0.42476080708833025</c:v>
                </c:pt>
              </c:numCache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32"/>
        <c:crossesAt val="-1.2"/>
        <c:crossBetween val="midCat"/>
        <c:dispUnits/>
      </c:valAx>
      <c:valAx>
        <c:axId val="4338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   log
(-ln(1-24-hr clearance)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34151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Geneva"/>
                <a:ea typeface="Geneva"/>
                <a:cs typeface="Geneva"/>
              </a:rPr>
              <a:t>Laurenco et al: normal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'ind. data'!$P$6:$P$17</c:f>
              <c:numCache>
                <c:ptCount val="12"/>
                <c:pt idx="0">
                  <c:v>-1.7075535652111284</c:v>
                </c:pt>
                <c:pt idx="1">
                  <c:v>-1.205344233312644</c:v>
                </c:pt>
                <c:pt idx="2">
                  <c:v>-0.8994356903713197</c:v>
                </c:pt>
                <c:pt idx="3">
                  <c:v>-0.6607501745747868</c:v>
                </c:pt>
                <c:pt idx="4">
                  <c:v>-0.45498154577217065</c:v>
                </c:pt>
                <c:pt idx="5">
                  <c:v>-0.26699353838921525</c:v>
                </c:pt>
                <c:pt idx="6">
                  <c:v>-0.08806523510429543</c:v>
                </c:pt>
                <c:pt idx="7">
                  <c:v>0.08806523510429543</c:v>
                </c:pt>
                <c:pt idx="8">
                  <c:v>0.26699353838921525</c:v>
                </c:pt>
                <c:pt idx="9">
                  <c:v>0.45498154577217065</c:v>
                </c:pt>
                <c:pt idx="10">
                  <c:v>0.6607501745747868</c:v>
                </c:pt>
                <c:pt idx="11">
                  <c:v>0.8994356903713197</c:v>
                </c:pt>
              </c:numCache>
            </c:numRef>
          </c:xVal>
          <c:yVal>
            <c:numRef>
              <c:f>'ind. data'!$L$6:$L$17</c:f>
              <c:numCache>
                <c:ptCount val="12"/>
                <c:pt idx="0">
                  <c:v>0.09431067947124128</c:v>
                </c:pt>
                <c:pt idx="1">
                  <c:v>0.5978370007556204</c:v>
                </c:pt>
                <c:pt idx="2">
                  <c:v>0.994252273343867</c:v>
                </c:pt>
                <c:pt idx="3">
                  <c:v>1.203972804325936</c:v>
                </c:pt>
                <c:pt idx="4">
                  <c:v>1.2729656758128873</c:v>
                </c:pt>
                <c:pt idx="5">
                  <c:v>1.3093333199837622</c:v>
                </c:pt>
                <c:pt idx="6">
                  <c:v>1.4271163556401458</c:v>
                </c:pt>
                <c:pt idx="7">
                  <c:v>1.4696759700589417</c:v>
                </c:pt>
                <c:pt idx="8">
                  <c:v>1.660731206821651</c:v>
                </c:pt>
                <c:pt idx="9">
                  <c:v>1.771956841931875</c:v>
                </c:pt>
                <c:pt idx="10">
                  <c:v>1.9661128563728327</c:v>
                </c:pt>
                <c:pt idx="11">
                  <c:v>2.659260036932777</c:v>
                </c:pt>
              </c:numCache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-ln(1-Cl)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2369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log [-ln(1-Cl)]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'ind. data'!$I$208:$I$236</c:f>
              <c:numCache>
                <c:ptCount val="29"/>
                <c:pt idx="0">
                  <c:v>-1.6098147170851007</c:v>
                </c:pt>
                <c:pt idx="1">
                  <c:v>-1.3608723747893237</c:v>
                </c:pt>
                <c:pt idx="2">
                  <c:v>-1.175812940346077</c:v>
                </c:pt>
                <c:pt idx="3">
                  <c:v>-1.0241069503535982</c:v>
                </c:pt>
                <c:pt idx="4">
                  <c:v>-0.8929191608331166</c:v>
                </c:pt>
                <c:pt idx="5">
                  <c:v>-0.7755465958325658</c:v>
                </c:pt>
                <c:pt idx="6">
                  <c:v>-0.6680011210846715</c:v>
                </c:pt>
                <c:pt idx="7">
                  <c:v>-0.5676861292158719</c:v>
                </c:pt>
                <c:pt idx="8">
                  <c:v>-0.4727894520328846</c:v>
                </c:pt>
                <c:pt idx="9">
                  <c:v>-0.3819764060608577</c:v>
                </c:pt>
                <c:pt idx="10">
                  <c:v>-0.29421357794490177</c:v>
                </c:pt>
                <c:pt idx="11">
                  <c:v>-0.2086630956910085</c:v>
                </c:pt>
                <c:pt idx="12">
                  <c:v>-0.1246166903001722</c:v>
                </c:pt>
                <c:pt idx="13">
                  <c:v>-0.04144339982303791</c:v>
                </c:pt>
                <c:pt idx="14">
                  <c:v>0.04144339982303791</c:v>
                </c:pt>
                <c:pt idx="15">
                  <c:v>0.1246166903001722</c:v>
                </c:pt>
                <c:pt idx="16">
                  <c:v>0.2086630956910085</c:v>
                </c:pt>
                <c:pt idx="17">
                  <c:v>0.29421357794490177</c:v>
                </c:pt>
                <c:pt idx="18">
                  <c:v>0.3819764060608577</c:v>
                </c:pt>
                <c:pt idx="19">
                  <c:v>0.4727894520328846</c:v>
                </c:pt>
                <c:pt idx="20">
                  <c:v>0.5676861292158719</c:v>
                </c:pt>
                <c:pt idx="21">
                  <c:v>0.6680011210846715</c:v>
                </c:pt>
                <c:pt idx="22">
                  <c:v>0.7755465958325658</c:v>
                </c:pt>
                <c:pt idx="23">
                  <c:v>0.8929191608331166</c:v>
                </c:pt>
                <c:pt idx="24">
                  <c:v>1.0241069503535982</c:v>
                </c:pt>
                <c:pt idx="25">
                  <c:v>1.175812940346077</c:v>
                </c:pt>
                <c:pt idx="26">
                  <c:v>1.3608723747893237</c:v>
                </c:pt>
                <c:pt idx="27">
                  <c:v>1.6098147170851007</c:v>
                </c:pt>
                <c:pt idx="28">
                  <c:v>2.0402785594342276</c:v>
                </c:pt>
              </c:numCache>
            </c:numRef>
          </c:xVal>
          <c:yVal>
            <c:numRef>
              <c:f>'ind. data'!$H$208:$H$236</c:f>
              <c:numCache>
                <c:ptCount val="29"/>
                <c:pt idx="0">
                  <c:v>-1.7736316806938592</c:v>
                </c:pt>
                <c:pt idx="1">
                  <c:v>-1.2776288266355817</c:v>
                </c:pt>
                <c:pt idx="2">
                  <c:v>-1.1303154217428881</c:v>
                </c:pt>
                <c:pt idx="3">
                  <c:v>-1.1303154217428881</c:v>
                </c:pt>
                <c:pt idx="4">
                  <c:v>-1.0367033224480324</c:v>
                </c:pt>
                <c:pt idx="5">
                  <c:v>-1.0179079904648922</c:v>
                </c:pt>
                <c:pt idx="6">
                  <c:v>-0.9348058529483012</c:v>
                </c:pt>
                <c:pt idx="7">
                  <c:v>-0.9348058529483012</c:v>
                </c:pt>
                <c:pt idx="8">
                  <c:v>-0.8906606252275658</c:v>
                </c:pt>
                <c:pt idx="9">
                  <c:v>-0.8313361685678421</c:v>
                </c:pt>
                <c:pt idx="10">
                  <c:v>-0.7782075106005475</c:v>
                </c:pt>
                <c:pt idx="11">
                  <c:v>-0.7299990907426726</c:v>
                </c:pt>
                <c:pt idx="12">
                  <c:v>-0.6951884920147825</c:v>
                </c:pt>
                <c:pt idx="13">
                  <c:v>-0.6904680774334326</c:v>
                </c:pt>
                <c:pt idx="14">
                  <c:v>-0.6717310714697866</c:v>
                </c:pt>
                <c:pt idx="15">
                  <c:v>-0.640334957239275</c:v>
                </c:pt>
                <c:pt idx="16">
                  <c:v>-0.5786670225323224</c:v>
                </c:pt>
                <c:pt idx="17">
                  <c:v>-0.5707904158666047</c:v>
                </c:pt>
                <c:pt idx="18">
                  <c:v>-0.5594789640734738</c:v>
                </c:pt>
                <c:pt idx="19">
                  <c:v>-0.5518500295774067</c:v>
                </c:pt>
                <c:pt idx="20">
                  <c:v>-0.5481732660954937</c:v>
                </c:pt>
                <c:pt idx="21">
                  <c:v>-0.5226477707870171</c:v>
                </c:pt>
                <c:pt idx="22">
                  <c:v>-0.5191415747301711</c:v>
                </c:pt>
                <c:pt idx="23">
                  <c:v>-0.5017104652211065</c:v>
                </c:pt>
                <c:pt idx="24">
                  <c:v>-0.4268298579674249</c:v>
                </c:pt>
                <c:pt idx="25">
                  <c:v>-0.36218251907616106</c:v>
                </c:pt>
                <c:pt idx="26">
                  <c:v>-0.22964303345135711</c:v>
                </c:pt>
                <c:pt idx="27">
                  <c:v>-0.21762114450661235</c:v>
                </c:pt>
                <c:pt idx="28">
                  <c:v>-0.18217425684832822</c:v>
                </c:pt>
              </c:numCache>
            </c:numRef>
          </c:yVal>
          <c:smooth val="0"/>
        </c:ser>
        <c:ser>
          <c:idx val="1"/>
          <c:order val="1"/>
          <c:tx>
            <c:v>-ln(1-Cl)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'ind. data'!$I$208:$I$236</c:f>
              <c:numCache>
                <c:ptCount val="29"/>
                <c:pt idx="0">
                  <c:v>-1.6098147170851007</c:v>
                </c:pt>
                <c:pt idx="1">
                  <c:v>-1.3608723747893237</c:v>
                </c:pt>
                <c:pt idx="2">
                  <c:v>-1.175812940346077</c:v>
                </c:pt>
                <c:pt idx="3">
                  <c:v>-1.0241069503535982</c:v>
                </c:pt>
                <c:pt idx="4">
                  <c:v>-0.8929191608331166</c:v>
                </c:pt>
                <c:pt idx="5">
                  <c:v>-0.7755465958325658</c:v>
                </c:pt>
                <c:pt idx="6">
                  <c:v>-0.6680011210846715</c:v>
                </c:pt>
                <c:pt idx="7">
                  <c:v>-0.5676861292158719</c:v>
                </c:pt>
                <c:pt idx="8">
                  <c:v>-0.4727894520328846</c:v>
                </c:pt>
                <c:pt idx="9">
                  <c:v>-0.3819764060608577</c:v>
                </c:pt>
                <c:pt idx="10">
                  <c:v>-0.29421357794490177</c:v>
                </c:pt>
                <c:pt idx="11">
                  <c:v>-0.2086630956910085</c:v>
                </c:pt>
                <c:pt idx="12">
                  <c:v>-0.1246166903001722</c:v>
                </c:pt>
                <c:pt idx="13">
                  <c:v>-0.04144339982303791</c:v>
                </c:pt>
                <c:pt idx="14">
                  <c:v>0.04144339982303791</c:v>
                </c:pt>
                <c:pt idx="15">
                  <c:v>0.1246166903001722</c:v>
                </c:pt>
                <c:pt idx="16">
                  <c:v>0.2086630956910085</c:v>
                </c:pt>
                <c:pt idx="17">
                  <c:v>0.29421357794490177</c:v>
                </c:pt>
                <c:pt idx="18">
                  <c:v>0.3819764060608577</c:v>
                </c:pt>
                <c:pt idx="19">
                  <c:v>0.4727894520328846</c:v>
                </c:pt>
                <c:pt idx="20">
                  <c:v>0.5676861292158719</c:v>
                </c:pt>
                <c:pt idx="21">
                  <c:v>0.6680011210846715</c:v>
                </c:pt>
                <c:pt idx="22">
                  <c:v>0.7755465958325658</c:v>
                </c:pt>
                <c:pt idx="23">
                  <c:v>0.8929191608331166</c:v>
                </c:pt>
                <c:pt idx="24">
                  <c:v>1.0241069503535982</c:v>
                </c:pt>
                <c:pt idx="25">
                  <c:v>1.175812940346077</c:v>
                </c:pt>
                <c:pt idx="26">
                  <c:v>1.3608723747893237</c:v>
                </c:pt>
                <c:pt idx="27">
                  <c:v>1.6098147170851007</c:v>
                </c:pt>
                <c:pt idx="28">
                  <c:v>2.0402785594342276</c:v>
                </c:pt>
              </c:numCache>
            </c:numRef>
          </c:xVal>
          <c:yVal>
            <c:numRef>
              <c:f>'ind. data'!$G$208:$G$236</c:f>
              <c:numCache>
                <c:ptCount val="29"/>
                <c:pt idx="0">
                  <c:v>0.01684101719602656</c:v>
                </c:pt>
                <c:pt idx="1">
                  <c:v>0.05276806553865572</c:v>
                </c:pt>
                <c:pt idx="2">
                  <c:v>0.07407720339631574</c:v>
                </c:pt>
                <c:pt idx="3">
                  <c:v>0.07407720339631574</c:v>
                </c:pt>
                <c:pt idx="4">
                  <c:v>0.091896014704537</c:v>
                </c:pt>
                <c:pt idx="5">
                  <c:v>0.09596039114591119</c:v>
                </c:pt>
                <c:pt idx="6">
                  <c:v>0.11619679440251157</c:v>
                </c:pt>
                <c:pt idx="7">
                  <c:v>0.11619679440251157</c:v>
                </c:pt>
                <c:pt idx="8">
                  <c:v>0.12862914259718053</c:v>
                </c:pt>
                <c:pt idx="9">
                  <c:v>0.1474564694678751</c:v>
                </c:pt>
                <c:pt idx="10">
                  <c:v>0.166645077408947</c:v>
                </c:pt>
                <c:pt idx="11">
                  <c:v>0.18620910352114703</c:v>
                </c:pt>
                <c:pt idx="12">
                  <c:v>0.201749054460053</c:v>
                </c:pt>
                <c:pt idx="13">
                  <c:v>0.20395385692106846</c:v>
                </c:pt>
                <c:pt idx="14">
                  <c:v>0.21294572633776387</c:v>
                </c:pt>
                <c:pt idx="15">
                  <c:v>0.22891014620854666</c:v>
                </c:pt>
                <c:pt idx="16">
                  <c:v>0.2638353459775008</c:v>
                </c:pt>
                <c:pt idx="17">
                  <c:v>0.2686640666160191</c:v>
                </c:pt>
                <c:pt idx="18">
                  <c:v>0.27575350158650713</c:v>
                </c:pt>
                <c:pt idx="19">
                  <c:v>0.2806402576627348</c:v>
                </c:pt>
                <c:pt idx="20">
                  <c:v>0.28302626091558697</c:v>
                </c:pt>
                <c:pt idx="21">
                  <c:v>0.30015959396289366</c:v>
                </c:pt>
                <c:pt idx="22">
                  <c:v>0.3025926851875351</c:v>
                </c:pt>
                <c:pt idx="23">
                  <c:v>0.3149847549797898</c:v>
                </c:pt>
                <c:pt idx="24">
                  <c:v>0.3742571809839712</c:v>
                </c:pt>
                <c:pt idx="25">
                  <c:v>0.4343276527932658</c:v>
                </c:pt>
                <c:pt idx="26">
                  <c:v>0.5893278519209483</c:v>
                </c:pt>
                <c:pt idx="27">
                  <c:v>0.6058691724528847</c:v>
                </c:pt>
                <c:pt idx="28">
                  <c:v>0.6573940108541274</c:v>
                </c:pt>
              </c:numCache>
            </c:numRef>
          </c:yVal>
          <c:smooth val="0"/>
        </c:ser>
        <c:axId val="22766875"/>
        <c:axId val="3575284"/>
      </c:scatterChart>
      <c:val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z-score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284"/>
        <c:crossesAt val="-2"/>
        <c:crossBetween val="midCat"/>
        <c:dispUnits/>
      </c:valAx>
      <c:valAx>
        <c:axId val="3575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66875"/>
        <c:crossesAt val="-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69</xdr:row>
      <xdr:rowOff>0</xdr:rowOff>
    </xdr:from>
    <xdr:to>
      <xdr:col>11</xdr:col>
      <xdr:colOff>657225</xdr:colOff>
      <xdr:row>91</xdr:row>
      <xdr:rowOff>9525</xdr:rowOff>
    </xdr:to>
    <xdr:graphicFrame>
      <xdr:nvGraphicFramePr>
        <xdr:cNvPr id="1" name="Chart 1"/>
        <xdr:cNvGraphicFramePr/>
      </xdr:nvGraphicFramePr>
      <xdr:xfrm>
        <a:off x="5619750" y="11201400"/>
        <a:ext cx="42576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0"/>
  <sheetViews>
    <sheetView workbookViewId="0" topLeftCell="A1">
      <selection activeCell="E101" sqref="E101"/>
    </sheetView>
  </sheetViews>
  <sheetFormatPr defaultColWidth="11.00390625" defaultRowHeight="12"/>
  <cols>
    <col min="1" max="1" width="7.375" style="10" customWidth="1"/>
    <col min="2" max="2" width="7.50390625" style="10" customWidth="1"/>
    <col min="3" max="3" width="5.625" style="10" customWidth="1"/>
    <col min="4" max="4" width="9.125" style="10" customWidth="1"/>
    <col min="5" max="5" width="11.875" style="10" bestFit="1" customWidth="1"/>
    <col min="6" max="6" width="6.00390625" style="10" customWidth="1"/>
    <col min="7" max="19" width="10.875" style="10" customWidth="1"/>
    <col min="20" max="20" width="11.625" style="10" bestFit="1" customWidth="1"/>
    <col min="21" max="16384" width="10.875" style="10" customWidth="1"/>
  </cols>
  <sheetData>
    <row r="1" ht="12.75">
      <c r="A1" s="10" t="s">
        <v>95</v>
      </c>
    </row>
    <row r="3" ht="12.75">
      <c r="A3" s="11" t="s">
        <v>96</v>
      </c>
    </row>
    <row r="5" spans="1:16" ht="12.75">
      <c r="A5" s="10" t="s">
        <v>97</v>
      </c>
      <c r="B5" s="10" t="s">
        <v>112</v>
      </c>
      <c r="C5" s="10" t="s">
        <v>115</v>
      </c>
      <c r="E5" s="10" t="s">
        <v>116</v>
      </c>
      <c r="G5" s="10" t="s">
        <v>117</v>
      </c>
      <c r="I5" s="10" t="s">
        <v>118</v>
      </c>
      <c r="M5" s="10" t="s">
        <v>119</v>
      </c>
      <c r="N5" s="10" t="s">
        <v>120</v>
      </c>
      <c r="O5" s="10" t="s">
        <v>121</v>
      </c>
      <c r="P5" s="10" t="s">
        <v>122</v>
      </c>
    </row>
    <row r="6" spans="1:16" ht="12.75">
      <c r="A6" s="12" t="s">
        <v>98</v>
      </c>
      <c r="B6" s="10" t="s">
        <v>113</v>
      </c>
      <c r="C6" s="13">
        <v>0.27</v>
      </c>
      <c r="E6" s="13">
        <f>1-C6</f>
        <v>0.73</v>
      </c>
      <c r="G6" s="10">
        <f>-LN(1-C6)</f>
        <v>0.31471074483970024</v>
      </c>
      <c r="I6" s="10">
        <f>-LN(1-E6)</f>
        <v>1.3093333199837622</v>
      </c>
      <c r="L6" s="10">
        <v>0.09431067947124128</v>
      </c>
      <c r="M6" s="10">
        <f>LOG(L6)</f>
        <v>-1.02543912621473</v>
      </c>
      <c r="N6" s="10">
        <v>1</v>
      </c>
      <c r="O6" s="10">
        <f>(N6-3/8)/14.25</f>
        <v>0.043859649122807015</v>
      </c>
      <c r="P6" s="10">
        <f>NORMSINV(O6)</f>
        <v>-1.7075535652111284</v>
      </c>
    </row>
    <row r="7" spans="1:16" ht="12.75">
      <c r="A7" s="12" t="s">
        <v>99</v>
      </c>
      <c r="B7" s="10" t="s">
        <v>113</v>
      </c>
      <c r="C7" s="13">
        <v>0.3</v>
      </c>
      <c r="E7" s="13">
        <f aca="true" t="shared" si="0" ref="E7:E19">1-C7</f>
        <v>0.7</v>
      </c>
      <c r="G7" s="10">
        <f aca="true" t="shared" si="1" ref="G7:G19">-LN(1-C7)</f>
        <v>0.3566749439387324</v>
      </c>
      <c r="I7" s="10">
        <f aca="true" t="shared" si="2" ref="I7:I19">-LN(1-E7)</f>
        <v>1.203972804325936</v>
      </c>
      <c r="L7" s="10">
        <v>0.5978370007556204</v>
      </c>
      <c r="M7" s="10">
        <f aca="true" t="shared" si="3" ref="M7:M17">LOG(L7)</f>
        <v>-0.2234172095263945</v>
      </c>
      <c r="N7" s="10">
        <f>N6+1</f>
        <v>2</v>
      </c>
      <c r="O7" s="10">
        <f aca="true" t="shared" si="4" ref="O7:O17">(N7-3/8)/14.25</f>
        <v>0.11403508771929824</v>
      </c>
      <c r="P7" s="10">
        <f aca="true" t="shared" si="5" ref="P7:P17">NORMSINV(O7)</f>
        <v>-1.205344233312644</v>
      </c>
    </row>
    <row r="8" spans="1:16" ht="12.75">
      <c r="A8" s="12" t="s">
        <v>100</v>
      </c>
      <c r="B8" s="10" t="s">
        <v>113</v>
      </c>
      <c r="C8" s="13">
        <v>0.91</v>
      </c>
      <c r="E8" s="13">
        <f t="shared" si="0"/>
        <v>0.08999999999999997</v>
      </c>
      <c r="G8" s="10">
        <f t="shared" si="1"/>
        <v>2.4079456086518722</v>
      </c>
      <c r="I8" s="10">
        <f t="shared" si="2"/>
        <v>0.09431067947124128</v>
      </c>
      <c r="L8" s="10">
        <v>0.994252273343867</v>
      </c>
      <c r="M8" s="10">
        <f t="shared" si="3"/>
        <v>-0.002503407332609969</v>
      </c>
      <c r="N8" s="10">
        <f aca="true" t="shared" si="6" ref="N8:N19">N7+1</f>
        <v>3</v>
      </c>
      <c r="O8" s="10">
        <f t="shared" si="4"/>
        <v>0.18421052631578946</v>
      </c>
      <c r="P8" s="10">
        <f t="shared" si="5"/>
        <v>-0.8994356903713197</v>
      </c>
    </row>
    <row r="9" spans="1:16" ht="12.75">
      <c r="A9" s="12" t="s">
        <v>101</v>
      </c>
      <c r="B9" s="10" t="s">
        <v>113</v>
      </c>
      <c r="C9" s="13">
        <v>0.37</v>
      </c>
      <c r="E9" s="13">
        <f t="shared" si="0"/>
        <v>0.63</v>
      </c>
      <c r="G9" s="10">
        <f t="shared" si="1"/>
        <v>0.4620354595965587</v>
      </c>
      <c r="I9" s="10">
        <f t="shared" si="2"/>
        <v>0.994252273343867</v>
      </c>
      <c r="L9" s="10">
        <v>1.203972804325936</v>
      </c>
      <c r="M9" s="10">
        <f t="shared" si="3"/>
        <v>0.08061667706751091</v>
      </c>
      <c r="N9" s="10">
        <f t="shared" si="6"/>
        <v>4</v>
      </c>
      <c r="O9" s="10">
        <f t="shared" si="4"/>
        <v>0.2543859649122807</v>
      </c>
      <c r="P9" s="10">
        <f t="shared" si="5"/>
        <v>-0.6607501745747868</v>
      </c>
    </row>
    <row r="10" spans="1:16" ht="12.75">
      <c r="A10" s="12" t="s">
        <v>102</v>
      </c>
      <c r="B10" s="10" t="s">
        <v>113</v>
      </c>
      <c r="C10" s="13">
        <v>0.55</v>
      </c>
      <c r="E10" s="13">
        <f t="shared" si="0"/>
        <v>0.44999999999999996</v>
      </c>
      <c r="G10" s="10">
        <f t="shared" si="1"/>
        <v>0.7985076962177717</v>
      </c>
      <c r="I10" s="10">
        <f t="shared" si="2"/>
        <v>0.5978370007556204</v>
      </c>
      <c r="L10" s="10">
        <v>1.2729656758128873</v>
      </c>
      <c r="M10" s="10">
        <f t="shared" si="3"/>
        <v>0.10481669351537554</v>
      </c>
      <c r="N10" s="10">
        <f t="shared" si="6"/>
        <v>5</v>
      </c>
      <c r="O10" s="10">
        <f t="shared" si="4"/>
        <v>0.32456140350877194</v>
      </c>
      <c r="P10" s="10">
        <f t="shared" si="5"/>
        <v>-0.45498154577217065</v>
      </c>
    </row>
    <row r="11" spans="1:16" ht="12.75">
      <c r="A11" s="12" t="s">
        <v>103</v>
      </c>
      <c r="B11" s="10" t="s">
        <v>113</v>
      </c>
      <c r="C11" s="13">
        <v>0.28</v>
      </c>
      <c r="E11" s="13">
        <f t="shared" si="0"/>
        <v>0.72</v>
      </c>
      <c r="G11" s="10">
        <f t="shared" si="1"/>
        <v>0.32850406697203605</v>
      </c>
      <c r="I11" s="10">
        <f t="shared" si="2"/>
        <v>1.2729656758128873</v>
      </c>
      <c r="L11" s="10">
        <v>1.3093333199837622</v>
      </c>
      <c r="M11" s="10">
        <f t="shared" si="3"/>
        <v>0.11705021996731295</v>
      </c>
      <c r="N11" s="10">
        <f t="shared" si="6"/>
        <v>6</v>
      </c>
      <c r="O11" s="10">
        <f t="shared" si="4"/>
        <v>0.39473684210526316</v>
      </c>
      <c r="P11" s="10">
        <f t="shared" si="5"/>
        <v>-0.26699353838921525</v>
      </c>
    </row>
    <row r="12" spans="1:16" ht="12.75">
      <c r="A12" s="12" t="s">
        <v>104</v>
      </c>
      <c r="B12" s="10" t="s">
        <v>114</v>
      </c>
      <c r="C12" s="13">
        <v>0.17</v>
      </c>
      <c r="E12" s="13">
        <f t="shared" si="0"/>
        <v>0.83</v>
      </c>
      <c r="G12" s="10">
        <f t="shared" si="1"/>
        <v>0.18632957819149348</v>
      </c>
      <c r="I12" s="10">
        <f t="shared" si="2"/>
        <v>1.771956841931875</v>
      </c>
      <c r="L12" s="10">
        <v>1.4271163556401458</v>
      </c>
      <c r="M12" s="10">
        <f t="shared" si="3"/>
        <v>0.15445938345268856</v>
      </c>
      <c r="N12" s="10">
        <f t="shared" si="6"/>
        <v>7</v>
      </c>
      <c r="O12" s="10">
        <f t="shared" si="4"/>
        <v>0.4649122807017544</v>
      </c>
      <c r="P12" s="10">
        <f t="shared" si="5"/>
        <v>-0.08806523510429543</v>
      </c>
    </row>
    <row r="13" spans="1:16" ht="12.75">
      <c r="A13" s="12" t="s">
        <v>105</v>
      </c>
      <c r="B13" s="10" t="s">
        <v>114</v>
      </c>
      <c r="C13" s="13">
        <v>0</v>
      </c>
      <c r="E13" s="13">
        <f t="shared" si="0"/>
        <v>1</v>
      </c>
      <c r="G13" s="10">
        <v>0</v>
      </c>
      <c r="I13" s="10">
        <v>100</v>
      </c>
      <c r="L13" s="10">
        <v>1.4696759700589417</v>
      </c>
      <c r="M13" s="10">
        <f t="shared" si="3"/>
        <v>0.16722159330090347</v>
      </c>
      <c r="N13" s="10">
        <f t="shared" si="6"/>
        <v>8</v>
      </c>
      <c r="O13" s="10">
        <f t="shared" si="4"/>
        <v>0.5350877192982456</v>
      </c>
      <c r="P13" s="10">
        <f t="shared" si="5"/>
        <v>0.08806523510429543</v>
      </c>
    </row>
    <row r="14" spans="1:16" ht="12.75">
      <c r="A14" s="12" t="s">
        <v>106</v>
      </c>
      <c r="B14" s="10" t="s">
        <v>114</v>
      </c>
      <c r="C14" s="13">
        <v>0.14</v>
      </c>
      <c r="E14" s="13">
        <f t="shared" si="0"/>
        <v>0.86</v>
      </c>
      <c r="G14" s="10">
        <f t="shared" si="1"/>
        <v>0.15082288973458366</v>
      </c>
      <c r="I14" s="10">
        <f t="shared" si="2"/>
        <v>1.9661128563728327</v>
      </c>
      <c r="L14" s="10">
        <v>1.660731206821651</v>
      </c>
      <c r="M14" s="10">
        <f t="shared" si="3"/>
        <v>0.22029934657507477</v>
      </c>
      <c r="N14" s="10">
        <f t="shared" si="6"/>
        <v>9</v>
      </c>
      <c r="O14" s="10">
        <f t="shared" si="4"/>
        <v>0.6052631578947368</v>
      </c>
      <c r="P14" s="10">
        <f t="shared" si="5"/>
        <v>0.26699353838921525</v>
      </c>
    </row>
    <row r="15" spans="1:16" ht="12.75">
      <c r="A15" s="12" t="s">
        <v>107</v>
      </c>
      <c r="B15" s="10" t="s">
        <v>114</v>
      </c>
      <c r="C15" s="13">
        <v>0.23</v>
      </c>
      <c r="E15" s="13">
        <f t="shared" si="0"/>
        <v>0.77</v>
      </c>
      <c r="G15" s="10">
        <f t="shared" si="1"/>
        <v>0.2613647641344075</v>
      </c>
      <c r="I15" s="10">
        <f t="shared" si="2"/>
        <v>1.4696759700589417</v>
      </c>
      <c r="L15" s="10">
        <v>1.771956841931875</v>
      </c>
      <c r="M15" s="10">
        <f t="shared" si="3"/>
        <v>0.24845313993303417</v>
      </c>
      <c r="N15" s="10">
        <f t="shared" si="6"/>
        <v>10</v>
      </c>
      <c r="O15" s="10">
        <f t="shared" si="4"/>
        <v>0.6754385964912281</v>
      </c>
      <c r="P15" s="10">
        <f t="shared" si="5"/>
        <v>0.45498154577217065</v>
      </c>
    </row>
    <row r="16" spans="1:16" ht="12.75">
      <c r="A16" s="12" t="s">
        <v>108</v>
      </c>
      <c r="B16" s="10" t="s">
        <v>114</v>
      </c>
      <c r="C16" s="13">
        <v>0.24</v>
      </c>
      <c r="E16" s="13">
        <f t="shared" si="0"/>
        <v>0.76</v>
      </c>
      <c r="G16" s="10">
        <f t="shared" si="1"/>
        <v>0.27443684570176025</v>
      </c>
      <c r="I16" s="10">
        <f t="shared" si="2"/>
        <v>1.4271163556401458</v>
      </c>
      <c r="L16" s="10">
        <v>1.9661128563728327</v>
      </c>
      <c r="M16" s="10">
        <f t="shared" si="3"/>
        <v>0.29360844304507566</v>
      </c>
      <c r="N16" s="10">
        <f t="shared" si="6"/>
        <v>11</v>
      </c>
      <c r="O16" s="10">
        <f t="shared" si="4"/>
        <v>0.7456140350877193</v>
      </c>
      <c r="P16" s="10">
        <f t="shared" si="5"/>
        <v>0.6607501745747868</v>
      </c>
    </row>
    <row r="17" spans="1:16" ht="12.75">
      <c r="A17" s="12" t="s">
        <v>111</v>
      </c>
      <c r="B17" s="10" t="s">
        <v>114</v>
      </c>
      <c r="C17" s="13">
        <v>0</v>
      </c>
      <c r="E17" s="13">
        <f t="shared" si="0"/>
        <v>1</v>
      </c>
      <c r="G17" s="10">
        <f t="shared" si="1"/>
        <v>0</v>
      </c>
      <c r="I17" s="10">
        <v>100</v>
      </c>
      <c r="L17" s="10">
        <v>2.659260036932777</v>
      </c>
      <c r="M17" s="10">
        <f t="shared" si="3"/>
        <v>0.42476080708833025</v>
      </c>
      <c r="N17" s="10">
        <f t="shared" si="6"/>
        <v>12</v>
      </c>
      <c r="O17" s="10">
        <f t="shared" si="4"/>
        <v>0.8157894736842105</v>
      </c>
      <c r="P17" s="10">
        <f t="shared" si="5"/>
        <v>0.8994356903713197</v>
      </c>
    </row>
    <row r="18" spans="1:14" ht="12.75">
      <c r="A18" s="12" t="s">
        <v>109</v>
      </c>
      <c r="B18" s="10" t="s">
        <v>114</v>
      </c>
      <c r="C18" s="13">
        <v>0.07</v>
      </c>
      <c r="E18" s="13">
        <f t="shared" si="0"/>
        <v>0.9299999999999999</v>
      </c>
      <c r="G18" s="10">
        <f t="shared" si="1"/>
        <v>0.0725706928348355</v>
      </c>
      <c r="I18" s="10">
        <f t="shared" si="2"/>
        <v>2.659260036932777</v>
      </c>
      <c r="L18" s="10">
        <v>100</v>
      </c>
      <c r="N18" s="10">
        <f t="shared" si="6"/>
        <v>13</v>
      </c>
    </row>
    <row r="19" spans="1:14" ht="12.75">
      <c r="A19" s="12" t="s">
        <v>110</v>
      </c>
      <c r="B19" s="10" t="s">
        <v>114</v>
      </c>
      <c r="C19" s="13">
        <v>0.19</v>
      </c>
      <c r="E19" s="13">
        <f t="shared" si="0"/>
        <v>0.81</v>
      </c>
      <c r="G19" s="10">
        <f t="shared" si="1"/>
        <v>0.21072103131565253</v>
      </c>
      <c r="I19" s="10">
        <f t="shared" si="2"/>
        <v>1.660731206821651</v>
      </c>
      <c r="L19" s="10">
        <v>100</v>
      </c>
      <c r="N19" s="10">
        <f t="shared" si="6"/>
        <v>14</v>
      </c>
    </row>
    <row r="20" ht="12.75">
      <c r="E20" s="14">
        <f>AVERAGE(E6:E19)</f>
        <v>0.7342857142857142</v>
      </c>
    </row>
    <row r="22" ht="12.75">
      <c r="A22" s="11" t="s">
        <v>123</v>
      </c>
    </row>
    <row r="23" ht="12.75">
      <c r="A23" s="10" t="s">
        <v>125</v>
      </c>
    </row>
    <row r="24" spans="1:14" ht="12.75">
      <c r="A24" s="10" t="s">
        <v>97</v>
      </c>
      <c r="B24" s="10" t="s">
        <v>124</v>
      </c>
      <c r="D24" s="10" t="s">
        <v>182</v>
      </c>
      <c r="G24" s="10" t="s">
        <v>128</v>
      </c>
      <c r="H24" s="10" t="s">
        <v>127</v>
      </c>
      <c r="K24" s="10" t="s">
        <v>121</v>
      </c>
      <c r="N24" s="10" t="s">
        <v>41</v>
      </c>
    </row>
    <row r="25" spans="1:14" ht="12.75">
      <c r="A25" s="10">
        <v>1</v>
      </c>
      <c r="B25" s="10">
        <v>0.45</v>
      </c>
      <c r="D25" s="10">
        <f>-LN(1-B25)</f>
        <v>0.5978370007556204</v>
      </c>
      <c r="G25" s="10">
        <v>0</v>
      </c>
      <c r="J25" s="10">
        <v>1</v>
      </c>
      <c r="N25" s="10" t="s">
        <v>217</v>
      </c>
    </row>
    <row r="26" spans="1:16" ht="13.5">
      <c r="A26" s="10">
        <v>2</v>
      </c>
      <c r="B26" s="10">
        <v>0.4</v>
      </c>
      <c r="D26" s="10">
        <f aca="true" t="shared" si="7" ref="D26:D32">-LN(1-B26)</f>
        <v>0.5108256237659907</v>
      </c>
      <c r="G26" s="10">
        <v>0.051293294387550585</v>
      </c>
      <c r="H26" s="10">
        <f aca="true" t="shared" si="8" ref="H26:H31">LOG(G26)</f>
        <v>-1.2899394068342664</v>
      </c>
      <c r="I26" s="10">
        <f aca="true" t="shared" si="9" ref="I26:I32">LOG(G37)</f>
        <v>-1.2899394068342664</v>
      </c>
      <c r="J26" s="10">
        <v>2</v>
      </c>
      <c r="K26" s="10">
        <f>(J26-3/8)/8.25</f>
        <v>0.19696969696969696</v>
      </c>
      <c r="L26" s="10">
        <f>NORMSINV(K26)</f>
        <v>-0.8524943950760644</v>
      </c>
      <c r="N26" s="23">
        <v>0.2866</v>
      </c>
      <c r="O26" s="10">
        <f>-LN(1-N26)</f>
        <v>0.33771300605734583</v>
      </c>
      <c r="P26" s="10">
        <f>LOG(O26)</f>
        <v>-0.4714522134239073</v>
      </c>
    </row>
    <row r="27" spans="1:16" ht="13.5">
      <c r="A27" s="10">
        <v>3</v>
      </c>
      <c r="B27" s="10">
        <v>0.15</v>
      </c>
      <c r="D27" s="10">
        <f t="shared" si="7"/>
        <v>0.1625189294977749</v>
      </c>
      <c r="G27" s="10">
        <v>0.08338160893905103</v>
      </c>
      <c r="H27" s="10">
        <f t="shared" si="8"/>
        <v>-1.0789297289433515</v>
      </c>
      <c r="I27" s="10">
        <f t="shared" si="9"/>
        <v>-1.208481954410445</v>
      </c>
      <c r="J27" s="10">
        <v>3</v>
      </c>
      <c r="K27" s="10">
        <f aca="true" t="shared" si="10" ref="K27:K32">(J27-3/8)/8.25</f>
        <v>0.3181818181818182</v>
      </c>
      <c r="L27" s="10">
        <f aca="true" t="shared" si="11" ref="L27:L32">NORMSINV(K27)</f>
        <v>-0.4727894520328846</v>
      </c>
      <c r="N27" s="23">
        <v>0.2821</v>
      </c>
      <c r="O27" s="10">
        <f aca="true" t="shared" si="12" ref="O27:O33">-LN(1-N27)</f>
        <v>0.3314249953996998</v>
      </c>
      <c r="P27" s="10">
        <f aca="true" t="shared" si="13" ref="P27:P33">LOG(O27)</f>
        <v>-0.4796147410741729</v>
      </c>
    </row>
    <row r="28" spans="1:16" ht="13.5">
      <c r="A28" s="10">
        <v>4</v>
      </c>
      <c r="B28" s="10">
        <v>0.18</v>
      </c>
      <c r="D28" s="10">
        <f t="shared" si="7"/>
        <v>0.19845093872383818</v>
      </c>
      <c r="G28" s="10">
        <v>0.09431067947124128</v>
      </c>
      <c r="H28" s="10">
        <f t="shared" si="8"/>
        <v>-1.02543912621473</v>
      </c>
      <c r="I28" s="10">
        <f t="shared" si="9"/>
        <v>-0.9335480310130718</v>
      </c>
      <c r="J28" s="10">
        <v>4</v>
      </c>
      <c r="K28" s="10">
        <f t="shared" si="10"/>
        <v>0.4393939393939394</v>
      </c>
      <c r="L28" s="10">
        <f t="shared" si="11"/>
        <v>-0.15250634533003904</v>
      </c>
      <c r="N28" s="23">
        <v>0.1436</v>
      </c>
      <c r="O28" s="10">
        <f t="shared" si="12"/>
        <v>0.1550177222666093</v>
      </c>
      <c r="P28" s="10">
        <f t="shared" si="13"/>
        <v>-0.8096186486515138</v>
      </c>
    </row>
    <row r="29" spans="1:16" ht="13.5">
      <c r="A29" s="10">
        <v>5</v>
      </c>
      <c r="B29" s="10">
        <v>0.09</v>
      </c>
      <c r="D29" s="10">
        <f t="shared" si="7"/>
        <v>0.09431067947124128</v>
      </c>
      <c r="G29" s="10">
        <v>0.1625189294977749</v>
      </c>
      <c r="H29" s="10">
        <f t="shared" si="8"/>
        <v>-0.7890960470073316</v>
      </c>
      <c r="I29" s="10">
        <f t="shared" si="9"/>
        <v>-0.8561671620480555</v>
      </c>
      <c r="J29" s="10">
        <v>5</v>
      </c>
      <c r="K29" s="10">
        <f t="shared" si="10"/>
        <v>0.5606060606060606</v>
      </c>
      <c r="L29" s="10">
        <f t="shared" si="11"/>
        <v>0.15250634533003904</v>
      </c>
      <c r="N29" s="23">
        <v>0.05316</v>
      </c>
      <c r="O29" s="10">
        <f t="shared" si="12"/>
        <v>0.05462515466394697</v>
      </c>
      <c r="P29" s="10">
        <f t="shared" si="13"/>
        <v>-1.2626073203720274</v>
      </c>
    </row>
    <row r="30" spans="1:16" ht="13.5">
      <c r="A30" s="10">
        <v>6</v>
      </c>
      <c r="B30" s="10">
        <v>0.08</v>
      </c>
      <c r="D30" s="10">
        <f t="shared" si="7"/>
        <v>0.08338160893905103</v>
      </c>
      <c r="G30" s="10">
        <v>0.19845093872383818</v>
      </c>
      <c r="H30" s="10">
        <f t="shared" si="8"/>
        <v>-0.7023468424276733</v>
      </c>
      <c r="I30" s="10">
        <f t="shared" si="9"/>
        <v>-0.8215327424779075</v>
      </c>
      <c r="J30" s="10">
        <v>6</v>
      </c>
      <c r="K30" s="10">
        <f t="shared" si="10"/>
        <v>0.6818181818181818</v>
      </c>
      <c r="L30" s="10">
        <f t="shared" si="11"/>
        <v>0.4727894520328846</v>
      </c>
      <c r="N30" s="23">
        <v>0.1642</v>
      </c>
      <c r="O30" s="10">
        <f t="shared" si="12"/>
        <v>0.17936592896832207</v>
      </c>
      <c r="P30" s="10">
        <f t="shared" si="13"/>
        <v>-0.746260048841051</v>
      </c>
    </row>
    <row r="31" spans="1:16" ht="13.5">
      <c r="A31" s="10">
        <v>7</v>
      </c>
      <c r="B31" s="10">
        <v>0</v>
      </c>
      <c r="D31" s="10">
        <f t="shared" si="7"/>
        <v>0</v>
      </c>
      <c r="G31" s="10">
        <v>0.5108256237659907</v>
      </c>
      <c r="H31" s="10">
        <f t="shared" si="8"/>
        <v>-0.2917273260110778</v>
      </c>
      <c r="I31" s="10">
        <f t="shared" si="9"/>
        <v>-0.7890960470073316</v>
      </c>
      <c r="J31" s="10">
        <v>7</v>
      </c>
      <c r="K31" s="10">
        <f t="shared" si="10"/>
        <v>0.803030303030303</v>
      </c>
      <c r="L31" s="10">
        <f t="shared" si="11"/>
        <v>0.8524943950760644</v>
      </c>
      <c r="N31" s="23">
        <v>0.04448</v>
      </c>
      <c r="O31" s="10">
        <f t="shared" si="12"/>
        <v>0.04549958407136614</v>
      </c>
      <c r="P31" s="10">
        <f t="shared" si="13"/>
        <v>-1.341992573372254</v>
      </c>
    </row>
    <row r="32" spans="1:16" ht="13.5">
      <c r="A32" s="10">
        <v>8</v>
      </c>
      <c r="B32" s="10">
        <v>0.05</v>
      </c>
      <c r="D32" s="10">
        <f t="shared" si="7"/>
        <v>0.051293294387550585</v>
      </c>
      <c r="G32" s="10">
        <v>0.5978370007556204</v>
      </c>
      <c r="H32" s="10">
        <f>LOG(G32)</f>
        <v>-0.2234172095263945</v>
      </c>
      <c r="I32" s="10">
        <f t="shared" si="9"/>
        <v>-0.7297181991792839</v>
      </c>
      <c r="J32" s="10">
        <v>8</v>
      </c>
      <c r="K32" s="10">
        <f t="shared" si="10"/>
        <v>0.9242424242424242</v>
      </c>
      <c r="L32" s="10">
        <f t="shared" si="11"/>
        <v>1.434200385119766</v>
      </c>
      <c r="N32" s="23">
        <v>0.04917</v>
      </c>
      <c r="O32" s="10">
        <f t="shared" si="12"/>
        <v>0.0504199916169183</v>
      </c>
      <c r="P32" s="10">
        <f t="shared" si="13"/>
        <v>-1.2973972308675543</v>
      </c>
    </row>
    <row r="33" spans="2:16" ht="13.5">
      <c r="B33" s="14">
        <f>AVERAGE(B25:B32)</f>
        <v>0.17500000000000002</v>
      </c>
      <c r="N33" s="23">
        <v>0.0694</v>
      </c>
      <c r="O33" s="10">
        <f t="shared" si="12"/>
        <v>0.07192573957158893</v>
      </c>
      <c r="P33" s="10">
        <f t="shared" si="13"/>
        <v>-1.1431156638108206</v>
      </c>
    </row>
    <row r="34" spans="1:16" ht="12.75">
      <c r="A34" s="10" t="s">
        <v>126</v>
      </c>
      <c r="P34" s="24">
        <f>STDEV(P26:P33)</f>
        <v>0.3626410815446355</v>
      </c>
    </row>
    <row r="35" ht="12.75">
      <c r="A35" s="10" t="s">
        <v>97</v>
      </c>
    </row>
    <row r="36" spans="1:10" ht="12.75">
      <c r="A36" s="10">
        <v>1</v>
      </c>
      <c r="B36" s="10">
        <v>0.13</v>
      </c>
      <c r="D36" s="10">
        <f aca="true" t="shared" si="14" ref="D36:D43">-LN(1-B36)</f>
        <v>0.13926206733350766</v>
      </c>
      <c r="G36" s="10">
        <v>0</v>
      </c>
      <c r="J36" s="10">
        <v>1</v>
      </c>
    </row>
    <row r="37" spans="1:17" ht="12.75">
      <c r="A37" s="10">
        <v>2</v>
      </c>
      <c r="B37" s="10">
        <v>0.17</v>
      </c>
      <c r="D37" s="10">
        <f t="shared" si="14"/>
        <v>0.18632957819149348</v>
      </c>
      <c r="G37" s="10">
        <v>0.051293294387550585</v>
      </c>
      <c r="J37" s="10">
        <v>2</v>
      </c>
      <c r="K37" s="10">
        <f aca="true" t="shared" si="15" ref="K37:K43">(J37-3/8)/8.25</f>
        <v>0.19696969696969696</v>
      </c>
      <c r="L37" s="10">
        <f>NORMSINV(K37)</f>
        <v>-0.8524943950760644</v>
      </c>
      <c r="N37" s="10">
        <v>0.2515</v>
      </c>
      <c r="O37" s="10">
        <f>N37^2</f>
        <v>0.06325225</v>
      </c>
      <c r="P37" s="10">
        <v>7</v>
      </c>
      <c r="Q37" s="10">
        <f>P37*O37</f>
        <v>0.44276574999999996</v>
      </c>
    </row>
    <row r="38" spans="1:17" ht="12.75">
      <c r="A38" s="10">
        <v>3</v>
      </c>
      <c r="B38" s="10">
        <v>0.14</v>
      </c>
      <c r="D38" s="10">
        <f t="shared" si="14"/>
        <v>0.15082288973458366</v>
      </c>
      <c r="G38" s="10">
        <v>0.06187540371808752</v>
      </c>
      <c r="J38" s="10">
        <v>3</v>
      </c>
      <c r="K38" s="10">
        <f t="shared" si="15"/>
        <v>0.3181818181818182</v>
      </c>
      <c r="L38" s="10">
        <f aca="true" t="shared" si="16" ref="L38:L43">NORMSINV(K38)</f>
        <v>-0.4727894520328846</v>
      </c>
      <c r="N38" s="10">
        <v>0.4622</v>
      </c>
      <c r="O38" s="10">
        <f>N38^2</f>
        <v>0.21362884</v>
      </c>
      <c r="P38" s="10">
        <v>7</v>
      </c>
      <c r="Q38" s="10">
        <f>P38*O38</f>
        <v>1.49540188</v>
      </c>
    </row>
    <row r="39" spans="1:17" ht="12.75">
      <c r="A39" s="10">
        <v>4</v>
      </c>
      <c r="B39" s="10">
        <v>0.15</v>
      </c>
      <c r="D39" s="10">
        <f t="shared" si="14"/>
        <v>0.1625189294977749</v>
      </c>
      <c r="G39" s="10">
        <v>0.11653381625595151</v>
      </c>
      <c r="J39" s="10">
        <v>4</v>
      </c>
      <c r="K39" s="10">
        <f t="shared" si="15"/>
        <v>0.4393939393939394</v>
      </c>
      <c r="L39" s="10">
        <f t="shared" si="16"/>
        <v>-0.15250634533003904</v>
      </c>
      <c r="N39" s="14">
        <f>AVERAGE(N37:N38)</f>
        <v>0.35685</v>
      </c>
      <c r="P39" s="10">
        <v>14</v>
      </c>
      <c r="Q39" s="10">
        <f>SUM(Q37:Q38)</f>
        <v>1.93816763</v>
      </c>
    </row>
    <row r="40" spans="1:12" ht="12.75">
      <c r="A40" s="10">
        <v>5</v>
      </c>
      <c r="B40" s="10">
        <v>0</v>
      </c>
      <c r="D40" s="10">
        <f t="shared" si="14"/>
        <v>0</v>
      </c>
      <c r="G40" s="10">
        <v>0.13926206733350766</v>
      </c>
      <c r="J40" s="10">
        <v>5</v>
      </c>
      <c r="K40" s="10">
        <f t="shared" si="15"/>
        <v>0.5606060606060606</v>
      </c>
      <c r="L40" s="10">
        <f t="shared" si="16"/>
        <v>0.15250634533003904</v>
      </c>
    </row>
    <row r="41" spans="1:15" ht="12.75">
      <c r="A41" s="10">
        <v>6</v>
      </c>
      <c r="B41" s="10">
        <v>0.06</v>
      </c>
      <c r="D41" s="10">
        <f t="shared" si="14"/>
        <v>0.06187540371808752</v>
      </c>
      <c r="G41" s="10">
        <v>0.15082288973458366</v>
      </c>
      <c r="J41" s="10">
        <v>6</v>
      </c>
      <c r="K41" s="10">
        <f t="shared" si="15"/>
        <v>0.6818181818181818</v>
      </c>
      <c r="L41" s="10">
        <f t="shared" si="16"/>
        <v>0.4727894520328846</v>
      </c>
      <c r="O41" s="26">
        <f>SQRT(Q39/P39)</f>
        <v>0.3720759935819563</v>
      </c>
    </row>
    <row r="42" spans="1:12" ht="12.75">
      <c r="A42" s="10">
        <v>7</v>
      </c>
      <c r="B42" s="10">
        <v>0.11</v>
      </c>
      <c r="D42" s="10">
        <f t="shared" si="14"/>
        <v>0.11653381625595151</v>
      </c>
      <c r="G42" s="10">
        <v>0.1625189294977749</v>
      </c>
      <c r="J42" s="10">
        <v>7</v>
      </c>
      <c r="K42" s="10">
        <f t="shared" si="15"/>
        <v>0.803030303030303</v>
      </c>
      <c r="L42" s="10">
        <f t="shared" si="16"/>
        <v>0.8524943950760644</v>
      </c>
    </row>
    <row r="43" spans="1:12" ht="12.75">
      <c r="A43" s="10">
        <v>8</v>
      </c>
      <c r="B43" s="10">
        <v>0.05</v>
      </c>
      <c r="D43" s="10">
        <f t="shared" si="14"/>
        <v>0.051293294387550585</v>
      </c>
      <c r="G43" s="10">
        <v>0.18632957819149348</v>
      </c>
      <c r="J43" s="10">
        <v>8</v>
      </c>
      <c r="K43" s="10">
        <f t="shared" si="15"/>
        <v>0.9242424242424242</v>
      </c>
      <c r="L43" s="10">
        <f t="shared" si="16"/>
        <v>1.434200385119766</v>
      </c>
    </row>
    <row r="44" ht="12.75">
      <c r="B44" s="14">
        <f>AVERAGE(B36:B43)</f>
        <v>0.10125000000000002</v>
      </c>
    </row>
    <row r="45" spans="1:2" ht="12.75">
      <c r="A45" s="11" t="s">
        <v>195</v>
      </c>
      <c r="B45" s="14"/>
    </row>
    <row r="46" ht="12.75">
      <c r="A46" s="10" t="s">
        <v>125</v>
      </c>
    </row>
    <row r="47" spans="1:14" ht="12.75">
      <c r="A47" s="10" t="s">
        <v>97</v>
      </c>
      <c r="B47" s="10" t="s">
        <v>124</v>
      </c>
      <c r="D47" s="10" t="s">
        <v>182</v>
      </c>
      <c r="G47" s="10" t="s">
        <v>196</v>
      </c>
      <c r="K47" s="10" t="s">
        <v>121</v>
      </c>
      <c r="N47" s="10" t="s">
        <v>224</v>
      </c>
    </row>
    <row r="48" spans="1:10" ht="12.75">
      <c r="A48" s="10">
        <v>1</v>
      </c>
      <c r="B48" s="10">
        <v>0.12</v>
      </c>
      <c r="D48" s="10">
        <f aca="true" t="shared" si="17" ref="D48:D53">-LN(1-B48)</f>
        <v>0.12783337150988489</v>
      </c>
      <c r="G48" s="15">
        <f>LOG(D48)</f>
        <v>-0.8933557567356024</v>
      </c>
      <c r="H48" s="15"/>
      <c r="J48" s="10">
        <v>1</v>
      </c>
    </row>
    <row r="49" spans="1:17" ht="12.75">
      <c r="A49" s="10">
        <v>2</v>
      </c>
      <c r="B49" s="10">
        <v>0.1</v>
      </c>
      <c r="D49" s="10">
        <f t="shared" si="17"/>
        <v>0.10536051565782627</v>
      </c>
      <c r="G49" s="15">
        <f>LOG(D49)</f>
        <v>-0.9773221125071639</v>
      </c>
      <c r="H49" s="15">
        <v>-1.2899394068342664</v>
      </c>
      <c r="I49" s="16">
        <v>-1.6945904278665125</v>
      </c>
      <c r="J49" s="10">
        <v>2</v>
      </c>
      <c r="K49" s="10">
        <f>(J49-3/8)/6.25</f>
        <v>0.26</v>
      </c>
      <c r="L49" s="10">
        <f>NORMSINV(K49)</f>
        <v>-0.6433447197196074</v>
      </c>
      <c r="N49" s="10">
        <v>0.2154</v>
      </c>
      <c r="O49" s="10">
        <f>N49^2</f>
        <v>0.04639716000000001</v>
      </c>
      <c r="P49" s="10">
        <v>5</v>
      </c>
      <c r="Q49" s="10">
        <f>P49*O49</f>
        <v>0.23198580000000002</v>
      </c>
    </row>
    <row r="50" spans="1:17" ht="12.75">
      <c r="A50" s="10">
        <v>3</v>
      </c>
      <c r="B50" s="10">
        <v>0.08</v>
      </c>
      <c r="D50" s="10">
        <f t="shared" si="17"/>
        <v>0.08338160893905103</v>
      </c>
      <c r="G50" s="15">
        <f>LOG(D50)</f>
        <v>-1.0789297289433515</v>
      </c>
      <c r="H50" s="15">
        <v>-1.208481954410445</v>
      </c>
      <c r="I50" s="16">
        <v>-1.6945904278665125</v>
      </c>
      <c r="J50" s="10">
        <v>3</v>
      </c>
      <c r="K50" s="10">
        <f>(J50-3/8)/6.25</f>
        <v>0.42</v>
      </c>
      <c r="L50" s="10">
        <f>NORMSINV(K50)</f>
        <v>-0.20189418137306347</v>
      </c>
      <c r="N50" s="10">
        <v>0.4622</v>
      </c>
      <c r="O50" s="10">
        <f>N50^2</f>
        <v>0.21362884</v>
      </c>
      <c r="P50" s="10">
        <v>5</v>
      </c>
      <c r="Q50" s="10">
        <f>P50*O50</f>
        <v>1.0681441999999999</v>
      </c>
    </row>
    <row r="51" spans="1:17" ht="12.75">
      <c r="A51" s="10">
        <v>4</v>
      </c>
      <c r="B51" s="10">
        <v>0.06</v>
      </c>
      <c r="D51" s="10">
        <f t="shared" si="17"/>
        <v>0.06187540371808752</v>
      </c>
      <c r="G51" s="15">
        <f>LOG(D51)</f>
        <v>-1.208481954410445</v>
      </c>
      <c r="H51" s="15">
        <v>-1.0789297289433515</v>
      </c>
      <c r="I51" s="16">
        <v>-1.1392387306746987</v>
      </c>
      <c r="J51" s="10">
        <v>4</v>
      </c>
      <c r="K51" s="10">
        <f>(J51-3/8)/6.25</f>
        <v>0.58</v>
      </c>
      <c r="L51" s="10">
        <f>NORMSINV(K51)</f>
        <v>0.20189418137306347</v>
      </c>
      <c r="N51" s="14">
        <f>AVERAGE(N49:N50)</f>
        <v>0.3388</v>
      </c>
      <c r="P51" s="10">
        <v>10</v>
      </c>
      <c r="Q51" s="10">
        <f>SUM(Q49:Q50)</f>
        <v>1.3001299999999998</v>
      </c>
    </row>
    <row r="52" spans="1:12" ht="12.75">
      <c r="A52" s="10">
        <v>5</v>
      </c>
      <c r="B52" s="10">
        <v>0.05</v>
      </c>
      <c r="D52" s="10">
        <f t="shared" si="17"/>
        <v>0.051293294387550585</v>
      </c>
      <c r="G52" s="15">
        <f>LOG(D52)</f>
        <v>-1.2899394068342664</v>
      </c>
      <c r="H52" s="15">
        <v>-0.9773221125071639</v>
      </c>
      <c r="I52" s="16">
        <v>-0.9773221125071639</v>
      </c>
      <c r="J52" s="10">
        <v>5</v>
      </c>
      <c r="K52" s="10">
        <f>(J52-3/8)/6.25</f>
        <v>0.74</v>
      </c>
      <c r="L52" s="10">
        <f>NORMSINV(K52)</f>
        <v>0.6433447197196074</v>
      </c>
    </row>
    <row r="53" spans="1:15" ht="12.75">
      <c r="A53" s="10">
        <v>6</v>
      </c>
      <c r="B53" s="10">
        <v>0</v>
      </c>
      <c r="D53" s="10">
        <f t="shared" si="17"/>
        <v>0</v>
      </c>
      <c r="G53" s="15"/>
      <c r="H53" s="15">
        <v>-0.8933557567356024</v>
      </c>
      <c r="I53" s="16">
        <v>-0.9335480310130718</v>
      </c>
      <c r="J53" s="10">
        <v>6</v>
      </c>
      <c r="K53" s="10">
        <f>(J53-3/8)/6.25</f>
        <v>0.9</v>
      </c>
      <c r="L53" s="10">
        <f>NORMSINV(K53)</f>
        <v>1.2815507943741977</v>
      </c>
      <c r="O53" s="26">
        <f>SQRT(Q51/P51)</f>
        <v>0.3605731548521049</v>
      </c>
    </row>
    <row r="54" ht="12.75">
      <c r="B54" s="14"/>
    </row>
    <row r="55" ht="12.75">
      <c r="A55" s="10" t="s">
        <v>126</v>
      </c>
    </row>
    <row r="56" spans="1:7" ht="12.75">
      <c r="A56" s="10" t="s">
        <v>97</v>
      </c>
      <c r="G56" s="10" t="s">
        <v>196</v>
      </c>
    </row>
    <row r="57" spans="1:10" ht="12.75">
      <c r="A57" s="10">
        <v>1</v>
      </c>
      <c r="B57" s="10">
        <v>0.07</v>
      </c>
      <c r="D57" s="10">
        <f aca="true" t="shared" si="18" ref="D57:D62">-LN(1-B57)</f>
        <v>0.0725706928348355</v>
      </c>
      <c r="G57" s="16">
        <f>LOG(D57)</f>
        <v>-1.1392387306746987</v>
      </c>
      <c r="J57" s="10">
        <v>1</v>
      </c>
    </row>
    <row r="58" spans="1:12" ht="12.75">
      <c r="A58" s="10">
        <v>2</v>
      </c>
      <c r="B58" s="10">
        <v>0.11</v>
      </c>
      <c r="D58" s="10">
        <f t="shared" si="18"/>
        <v>0.11653381625595151</v>
      </c>
      <c r="G58" s="16">
        <f>LOG(D58)</f>
        <v>-0.9335480310130718</v>
      </c>
      <c r="J58" s="10">
        <v>2</v>
      </c>
      <c r="K58" s="10">
        <f>(J58-3/8)/6.25</f>
        <v>0.26</v>
      </c>
      <c r="L58" s="10">
        <f>NORMSINV(K58)</f>
        <v>-0.6433447197196074</v>
      </c>
    </row>
    <row r="59" spans="1:12" ht="12.75">
      <c r="A59" s="10">
        <v>3</v>
      </c>
      <c r="B59" s="10">
        <v>0.02</v>
      </c>
      <c r="D59" s="10">
        <f t="shared" si="18"/>
        <v>0.020202707317519466</v>
      </c>
      <c r="G59" s="16">
        <f>LOG(D59)</f>
        <v>-1.6945904278665125</v>
      </c>
      <c r="J59" s="10">
        <v>3</v>
      </c>
      <c r="K59" s="10">
        <f>(J59-3/8)/6.25</f>
        <v>0.42</v>
      </c>
      <c r="L59" s="10">
        <f>NORMSINV(K59)</f>
        <v>-0.20189418137306347</v>
      </c>
    </row>
    <row r="60" spans="1:12" ht="12.75">
      <c r="A60" s="10">
        <v>4</v>
      </c>
      <c r="B60" s="10">
        <v>0.02</v>
      </c>
      <c r="D60" s="10">
        <f t="shared" si="18"/>
        <v>0.020202707317519466</v>
      </c>
      <c r="G60" s="16">
        <f>LOG(D60)</f>
        <v>-1.6945904278665125</v>
      </c>
      <c r="J60" s="10">
        <v>4</v>
      </c>
      <c r="K60" s="10">
        <f>(J60-3/8)/6.25</f>
        <v>0.58</v>
      </c>
      <c r="L60" s="10">
        <f>NORMSINV(K60)</f>
        <v>0.20189418137306347</v>
      </c>
    </row>
    <row r="61" spans="1:12" ht="12.75">
      <c r="A61" s="10">
        <v>5</v>
      </c>
      <c r="B61" s="10">
        <v>0.1</v>
      </c>
      <c r="D61" s="10">
        <f t="shared" si="18"/>
        <v>0.10536051565782627</v>
      </c>
      <c r="G61" s="16">
        <f>LOG(D61)</f>
        <v>-0.9773221125071639</v>
      </c>
      <c r="J61" s="10">
        <v>5</v>
      </c>
      <c r="K61" s="10">
        <f>(J61-3/8)/6.25</f>
        <v>0.74</v>
      </c>
      <c r="L61" s="10">
        <f>NORMSINV(K61)</f>
        <v>0.6433447197196074</v>
      </c>
    </row>
    <row r="62" spans="1:12" ht="12.75">
      <c r="A62" s="10">
        <v>6</v>
      </c>
      <c r="B62" s="10">
        <v>0</v>
      </c>
      <c r="D62" s="10">
        <f t="shared" si="18"/>
        <v>0</v>
      </c>
      <c r="J62" s="10">
        <v>6</v>
      </c>
      <c r="K62" s="10">
        <f>(J62-3/8)/6.25</f>
        <v>0.9</v>
      </c>
      <c r="L62" s="10">
        <f>NORMSINV(K62)</f>
        <v>1.2815507943741977</v>
      </c>
    </row>
    <row r="65" ht="12.75">
      <c r="B65" s="14">
        <f>AVERAGE(B57:B64)</f>
        <v>0.05333333333333332</v>
      </c>
    </row>
    <row r="67" ht="12.75">
      <c r="A67" s="11" t="s">
        <v>129</v>
      </c>
    </row>
    <row r="68" spans="1:26" ht="12.75">
      <c r="A68" s="11"/>
      <c r="B68" s="10" t="s">
        <v>137</v>
      </c>
      <c r="C68" s="10" t="s">
        <v>138</v>
      </c>
      <c r="E68" s="17" t="s">
        <v>139</v>
      </c>
      <c r="N68" s="17" t="s">
        <v>116</v>
      </c>
      <c r="Z68" s="10" t="s">
        <v>19</v>
      </c>
    </row>
    <row r="69" spans="1:21" ht="12.75">
      <c r="A69" s="10" t="s">
        <v>130</v>
      </c>
      <c r="E69" s="10" t="s">
        <v>185</v>
      </c>
      <c r="G69" s="10" t="s">
        <v>127</v>
      </c>
      <c r="N69" s="10" t="s">
        <v>186</v>
      </c>
      <c r="O69" s="15" t="s">
        <v>127</v>
      </c>
      <c r="R69" s="10" t="s">
        <v>193</v>
      </c>
      <c r="S69" s="10" t="s">
        <v>194</v>
      </c>
      <c r="T69" s="10" t="s">
        <v>191</v>
      </c>
      <c r="U69" s="10" t="s">
        <v>192</v>
      </c>
    </row>
    <row r="70" spans="1:29" ht="12.75">
      <c r="A70" s="10" t="s">
        <v>131</v>
      </c>
      <c r="B70" s="10">
        <v>0.88</v>
      </c>
      <c r="C70" s="10">
        <v>0.77</v>
      </c>
      <c r="D70" s="10">
        <f>-LN(1-(1-B70))</f>
        <v>0.12783337150988489</v>
      </c>
      <c r="E70" s="10">
        <v>0.12783337150988489</v>
      </c>
      <c r="G70" s="18">
        <f>LOG(E70)</f>
        <v>-0.8933557567356024</v>
      </c>
      <c r="J70" s="10">
        <v>1</v>
      </c>
      <c r="K70" s="10">
        <f>(J70-3/8)/5.25</f>
        <v>0.11904761904761904</v>
      </c>
      <c r="L70" s="10">
        <f>NORMSINV(K70)</f>
        <v>-1.1797601473517716</v>
      </c>
      <c r="N70" s="10">
        <v>0.2613647641344075</v>
      </c>
      <c r="O70" s="15">
        <f>LOG(N70)</f>
        <v>-0.5827529621780622</v>
      </c>
      <c r="R70" s="18">
        <v>-0.8933557567356024</v>
      </c>
      <c r="S70" s="19">
        <v>-0.8215327424779075</v>
      </c>
      <c r="T70" s="15">
        <v>-0.6047411431410941</v>
      </c>
      <c r="U70" s="16">
        <v>-0.4834592493840182</v>
      </c>
      <c r="V70" s="10">
        <v>1</v>
      </c>
      <c r="W70" s="10">
        <f>(V70-3/8)/5.25</f>
        <v>0.11904761904761904</v>
      </c>
      <c r="X70" s="10">
        <f>NORMSINV(W70)</f>
        <v>-1.1797601473517716</v>
      </c>
      <c r="Z70" s="10">
        <v>0.1035</v>
      </c>
      <c r="AA70" s="10">
        <f>Z70^2</f>
        <v>0.01071225</v>
      </c>
      <c r="AB70" s="10">
        <v>4</v>
      </c>
      <c r="AC70" s="10">
        <f>AB70*AA70</f>
        <v>0.042849</v>
      </c>
    </row>
    <row r="71" spans="1:29" ht="12.75">
      <c r="A71" s="10" t="s">
        <v>132</v>
      </c>
      <c r="B71" s="10">
        <v>0.87</v>
      </c>
      <c r="C71" s="10">
        <v>0.67</v>
      </c>
      <c r="D71" s="10">
        <f>-LN(1-(1-B71))</f>
        <v>0.13926206733350766</v>
      </c>
      <c r="E71" s="10">
        <v>0.13926206733350766</v>
      </c>
      <c r="G71" s="18">
        <f>LOG(E71)</f>
        <v>-0.8561671620480555</v>
      </c>
      <c r="J71" s="10">
        <v>2</v>
      </c>
      <c r="K71" s="10">
        <f>(J71-3/8)/5.25</f>
        <v>0.30952380952380953</v>
      </c>
      <c r="L71" s="10">
        <f>NORMSINV(K71)</f>
        <v>-0.49720028982847</v>
      </c>
      <c r="N71" s="10">
        <v>0.4004775665971252</v>
      </c>
      <c r="O71" s="15">
        <f>LOG(N71)</f>
        <v>-0.39742180661083076</v>
      </c>
      <c r="R71" s="18">
        <v>-0.8933557567356024</v>
      </c>
      <c r="S71" s="19">
        <v>-0.6047411431410941</v>
      </c>
      <c r="T71" s="15">
        <v>-0.5827529621780622</v>
      </c>
      <c r="U71" s="16">
        <v>-0.350385663771713</v>
      </c>
      <c r="V71" s="10">
        <v>2</v>
      </c>
      <c r="W71" s="10">
        <f>(V71-3/8)/5.25</f>
        <v>0.30952380952380953</v>
      </c>
      <c r="X71" s="10">
        <f>NORMSINV(W71)</f>
        <v>-0.49720028982847</v>
      </c>
      <c r="Z71" s="10">
        <v>0.0302</v>
      </c>
      <c r="AA71" s="10">
        <f>Z71^2</f>
        <v>0.00091204</v>
      </c>
      <c r="AB71" s="10">
        <v>4</v>
      </c>
      <c r="AC71" s="10">
        <f>AB71*AA71</f>
        <v>0.00364816</v>
      </c>
    </row>
    <row r="72" spans="1:29" ht="12.75">
      <c r="A72" s="10" t="s">
        <v>133</v>
      </c>
      <c r="B72" s="10">
        <v>0.88</v>
      </c>
      <c r="C72" s="10">
        <v>0.78</v>
      </c>
      <c r="D72" s="10">
        <f>-LN(1-(1-B72))</f>
        <v>0.12783337150988489</v>
      </c>
      <c r="E72" s="10">
        <v>0.12783337150988489</v>
      </c>
      <c r="G72" s="18">
        <f>LOG(E72)</f>
        <v>-0.8933557567356024</v>
      </c>
      <c r="J72" s="10">
        <v>3</v>
      </c>
      <c r="K72" s="10">
        <f>(J72-3/8)/5.25</f>
        <v>0.5</v>
      </c>
      <c r="L72" s="10">
        <f>NORMSINV(K72)</f>
        <v>0</v>
      </c>
      <c r="N72" s="10">
        <v>0.24846135929849958</v>
      </c>
      <c r="O72" s="15">
        <f>LOG(N72)</f>
        <v>-0.6047411431410941</v>
      </c>
      <c r="R72" s="18">
        <v>-0.8561671620480555</v>
      </c>
      <c r="S72" s="19">
        <v>-0.5212818989234742</v>
      </c>
      <c r="T72" s="15">
        <v>-0.5212818989234742</v>
      </c>
      <c r="U72" s="16">
        <v>-0.350385663771713</v>
      </c>
      <c r="V72" s="10">
        <v>3</v>
      </c>
      <c r="W72" s="10">
        <f>(V72-3/8)/5.25</f>
        <v>0.5</v>
      </c>
      <c r="X72" s="10">
        <f>NORMSINV(W72)</f>
        <v>0</v>
      </c>
      <c r="AB72" s="10">
        <v>8</v>
      </c>
      <c r="AC72" s="10">
        <f>SUM(AC70:AC71)</f>
        <v>0.046497159999999996</v>
      </c>
    </row>
    <row r="73" spans="1:24" ht="12.75">
      <c r="A73" s="10" t="s">
        <v>134</v>
      </c>
      <c r="B73" s="10">
        <v>0.87</v>
      </c>
      <c r="C73" s="10">
        <v>0.66</v>
      </c>
      <c r="D73" s="10">
        <f>-LN(1-(1-B73))</f>
        <v>0.13926206733350766</v>
      </c>
      <c r="E73" s="10">
        <v>0.13926206733350766</v>
      </c>
      <c r="G73" s="18">
        <f>LOG(E73)</f>
        <v>-0.8561671620480555</v>
      </c>
      <c r="H73" s="10" t="s">
        <v>140</v>
      </c>
      <c r="J73" s="10">
        <v>4</v>
      </c>
      <c r="K73" s="10">
        <f>(J73-3/8)/5.25</f>
        <v>0.6904761904761905</v>
      </c>
      <c r="L73" s="10">
        <f>NORMSINV(K73)</f>
        <v>0.49720028982847</v>
      </c>
      <c r="N73" s="10">
        <v>0.4155154439616658</v>
      </c>
      <c r="O73" s="15">
        <f>LOG(N73)</f>
        <v>-0.38141282963515094</v>
      </c>
      <c r="P73" s="10" t="s">
        <v>140</v>
      </c>
      <c r="R73" s="18">
        <v>-0.8561671620480555</v>
      </c>
      <c r="S73" s="19">
        <v>-0.5020884291715288</v>
      </c>
      <c r="T73" s="15">
        <v>-0.39742180661083076</v>
      </c>
      <c r="U73" s="16">
        <v>-0.21028807498930588</v>
      </c>
      <c r="V73" s="10">
        <v>4</v>
      </c>
      <c r="W73" s="10">
        <f>(V73-3/8)/5.25</f>
        <v>0.6904761904761905</v>
      </c>
      <c r="X73" s="10">
        <f>NORMSINV(W73)</f>
        <v>0.49720028982847</v>
      </c>
    </row>
    <row r="74" spans="1:27" ht="12.75">
      <c r="A74" s="10" t="s">
        <v>135</v>
      </c>
      <c r="B74" s="10">
        <v>0.86</v>
      </c>
      <c r="C74" s="10">
        <v>0.74</v>
      </c>
      <c r="D74" s="10">
        <f>-LN(1-(1-B74))</f>
        <v>0.15082288973458366</v>
      </c>
      <c r="E74" s="10">
        <v>0.15082288973458366</v>
      </c>
      <c r="G74" s="18">
        <f>LOG(E74)</f>
        <v>-0.8215327424779075</v>
      </c>
      <c r="H74" s="26">
        <f>STDEV(G70:G74)</f>
        <v>0.03020607810638587</v>
      </c>
      <c r="J74" s="10">
        <v>5</v>
      </c>
      <c r="K74" s="10">
        <f>(J74-3/8)/5.25</f>
        <v>0.8809523809523809</v>
      </c>
      <c r="L74" s="10">
        <f>NORMSINV(K74)</f>
        <v>1.1797601473517716</v>
      </c>
      <c r="N74" s="10">
        <v>0.30110509278392167</v>
      </c>
      <c r="O74" s="15">
        <f>LOG(N74)</f>
        <v>-0.5212818989234742</v>
      </c>
      <c r="P74" s="26">
        <f>STDEV(O70:O74)</f>
        <v>0.10347243899445294</v>
      </c>
      <c r="R74" s="18">
        <v>-0.8215327424779075</v>
      </c>
      <c r="S74" s="19">
        <v>-0.4305515510229028</v>
      </c>
      <c r="T74" s="15">
        <v>-0.38141282963515094</v>
      </c>
      <c r="U74" s="16">
        <v>-0.197309535616827</v>
      </c>
      <c r="V74" s="10">
        <v>5</v>
      </c>
      <c r="W74" s="10">
        <f>(V74-3/8)/5.25</f>
        <v>0.8809523809523809</v>
      </c>
      <c r="X74" s="10">
        <f>NORMSINV(W74)</f>
        <v>1.1797601473517716</v>
      </c>
      <c r="AA74" s="26">
        <f>SQRT(AC72/AB72)</f>
        <v>0.07623742519261784</v>
      </c>
    </row>
    <row r="75" spans="5:14" ht="12.75">
      <c r="E75" s="14">
        <f>AVERAGE(E70:E74)</f>
        <v>0.13700275348427376</v>
      </c>
      <c r="F75" s="14"/>
      <c r="I75" s="18"/>
      <c r="N75" s="14">
        <f>AVERAGE(N70:N74)</f>
        <v>0.3253848453551239</v>
      </c>
    </row>
    <row r="76" spans="1:9" ht="12.75">
      <c r="A76" s="10" t="s">
        <v>136</v>
      </c>
      <c r="I76" s="18"/>
    </row>
    <row r="77" spans="1:21" ht="12.75">
      <c r="A77" s="10" t="s">
        <v>131</v>
      </c>
      <c r="B77" s="10">
        <v>0.74</v>
      </c>
      <c r="C77" s="10">
        <v>0.64</v>
      </c>
      <c r="E77" s="10">
        <v>0.30110509278392167</v>
      </c>
      <c r="G77" s="19">
        <f>LOG(E77)</f>
        <v>-0.5212818989234742</v>
      </c>
      <c r="J77" s="10">
        <v>1</v>
      </c>
      <c r="K77" s="10">
        <f>(J77-3/8)/5.25</f>
        <v>0.11904761904761904</v>
      </c>
      <c r="L77" s="10">
        <f>NORMSINV(K77)</f>
        <v>-1.1797601473517716</v>
      </c>
      <c r="N77" s="10">
        <v>0.44628710262841953</v>
      </c>
      <c r="O77" s="16">
        <f>LOG(N77)</f>
        <v>-0.350385663771713</v>
      </c>
      <c r="S77" s="10">
        <v>1</v>
      </c>
      <c r="T77" s="10">
        <f>(S77-3/8)/5.25</f>
        <v>0.11904761904761904</v>
      </c>
      <c r="U77" s="10">
        <f>NORMSINV(T77)</f>
        <v>-1.1797601473517716</v>
      </c>
    </row>
    <row r="78" spans="1:21" ht="12.75">
      <c r="A78" s="10" t="s">
        <v>132</v>
      </c>
      <c r="B78" s="10">
        <v>0.69</v>
      </c>
      <c r="C78" s="10">
        <v>0.54</v>
      </c>
      <c r="E78" s="10">
        <v>0.371063681390832</v>
      </c>
      <c r="G78" s="19">
        <f>LOG(E78)</f>
        <v>-0.4305515510229028</v>
      </c>
      <c r="J78" s="10">
        <v>2</v>
      </c>
      <c r="K78" s="10">
        <f>(J78-3/8)/5.25</f>
        <v>0.30952380952380953</v>
      </c>
      <c r="L78" s="10">
        <f>NORMSINV(K78)</f>
        <v>-0.49720028982847</v>
      </c>
      <c r="N78" s="10">
        <v>0.616186139423817</v>
      </c>
      <c r="O78" s="16">
        <f>LOG(N78)</f>
        <v>-0.21028807498930588</v>
      </c>
      <c r="S78" s="10">
        <v>2</v>
      </c>
      <c r="T78" s="10">
        <f>(S78-3/8)/5.25</f>
        <v>0.30952380952380953</v>
      </c>
      <c r="U78" s="10">
        <f>NORMSINV(T78)</f>
        <v>-0.49720028982847</v>
      </c>
    </row>
    <row r="79" spans="1:21" ht="12.75">
      <c r="A79" s="10" t="s">
        <v>133</v>
      </c>
      <c r="B79" s="10">
        <v>0.86</v>
      </c>
      <c r="C79" s="10">
        <v>0.72</v>
      </c>
      <c r="E79" s="10">
        <v>0.15082288973458366</v>
      </c>
      <c r="G79" s="19">
        <f>LOG(E79)</f>
        <v>-0.8215327424779075</v>
      </c>
      <c r="J79" s="10">
        <v>3</v>
      </c>
      <c r="K79" s="10">
        <f>(J79-3/8)/5.25</f>
        <v>0.5</v>
      </c>
      <c r="L79" s="10">
        <f>NORMSINV(K79)</f>
        <v>0</v>
      </c>
      <c r="N79" s="10">
        <v>0.32850406697203605</v>
      </c>
      <c r="O79" s="16">
        <f>LOG(N79)</f>
        <v>-0.4834592493840182</v>
      </c>
      <c r="S79" s="10">
        <v>3</v>
      </c>
      <c r="T79" s="10">
        <f>(S79-3/8)/5.25</f>
        <v>0.5</v>
      </c>
      <c r="U79" s="10">
        <f>NORMSINV(T79)</f>
        <v>0</v>
      </c>
    </row>
    <row r="80" spans="1:21" ht="12.75">
      <c r="A80" s="10" t="s">
        <v>134</v>
      </c>
      <c r="B80" s="10">
        <v>0.73</v>
      </c>
      <c r="C80" s="10">
        <v>0.53</v>
      </c>
      <c r="E80" s="10">
        <v>0.31471074483970024</v>
      </c>
      <c r="G80" s="19">
        <f>LOG(E80)</f>
        <v>-0.5020884291715288</v>
      </c>
      <c r="H80" s="10" t="s">
        <v>140</v>
      </c>
      <c r="J80" s="10">
        <v>4</v>
      </c>
      <c r="K80" s="10">
        <f>(J80-3/8)/5.25</f>
        <v>0.6904761904761905</v>
      </c>
      <c r="L80" s="10">
        <f>NORMSINV(K80)</f>
        <v>0.49720028982847</v>
      </c>
      <c r="N80" s="10">
        <v>0.6348782724359695</v>
      </c>
      <c r="O80" s="16">
        <f>LOG(N80)</f>
        <v>-0.197309535616827</v>
      </c>
      <c r="P80" s="10" t="s">
        <v>140</v>
      </c>
      <c r="S80" s="10">
        <v>4</v>
      </c>
      <c r="T80" s="10">
        <f>(S80-3/8)/5.25</f>
        <v>0.6904761904761905</v>
      </c>
      <c r="U80" s="10">
        <f>NORMSINV(T80)</f>
        <v>0.49720028982847</v>
      </c>
    </row>
    <row r="81" spans="1:21" ht="12.75">
      <c r="A81" s="10" t="s">
        <v>135</v>
      </c>
      <c r="B81" s="10">
        <v>0.78</v>
      </c>
      <c r="C81" s="10">
        <v>0.64</v>
      </c>
      <c r="E81" s="10">
        <v>0.24846135929849958</v>
      </c>
      <c r="G81" s="19">
        <f>LOG(E81)</f>
        <v>-0.6047411431410941</v>
      </c>
      <c r="H81" s="20">
        <f>STDEV(G77:G81)</f>
        <v>0.15060263565971332</v>
      </c>
      <c r="J81" s="10">
        <v>5</v>
      </c>
      <c r="K81" s="10">
        <f>(J81-3/8)/5.25</f>
        <v>0.8809523809523809</v>
      </c>
      <c r="L81" s="10">
        <f>NORMSINV(K81)</f>
        <v>1.1797601473517716</v>
      </c>
      <c r="N81" s="10">
        <v>0.44628710262841953</v>
      </c>
      <c r="O81" s="16">
        <f>LOG(N81)</f>
        <v>-0.350385663771713</v>
      </c>
      <c r="P81" s="20">
        <f>STDEV(O77:O81)</f>
        <v>0.11794257519148393</v>
      </c>
      <c r="S81" s="10">
        <v>5</v>
      </c>
      <c r="T81" s="10">
        <f>(S81-3/8)/5.25</f>
        <v>0.8809523809523809</v>
      </c>
      <c r="U81" s="10">
        <f>NORMSINV(T81)</f>
        <v>1.1797601473517716</v>
      </c>
    </row>
    <row r="82" spans="5:14" ht="12.75">
      <c r="E82" s="14">
        <f>AVERAGE(E77:E81)</f>
        <v>0.2772327536095075</v>
      </c>
      <c r="F82" s="14"/>
      <c r="N82" s="14">
        <f>AVERAGE(N77:N81)</f>
        <v>0.4944285368177323</v>
      </c>
    </row>
    <row r="84" ht="12.75">
      <c r="A84" s="11" t="s">
        <v>181</v>
      </c>
    </row>
    <row r="86" spans="1:13" ht="12.75">
      <c r="A86" s="10" t="s">
        <v>141</v>
      </c>
      <c r="B86" s="10" t="s">
        <v>175</v>
      </c>
      <c r="D86" s="17" t="s">
        <v>176</v>
      </c>
      <c r="F86" s="10" t="s">
        <v>187</v>
      </c>
      <c r="G86" s="10" t="s">
        <v>127</v>
      </c>
      <c r="J86" s="17" t="s">
        <v>177</v>
      </c>
      <c r="L86" s="10" t="s">
        <v>187</v>
      </c>
      <c r="M86" s="10" t="s">
        <v>127</v>
      </c>
    </row>
    <row r="88" ht="12.75">
      <c r="A88" s="10" t="s">
        <v>178</v>
      </c>
    </row>
    <row r="90" spans="1:20" ht="12.75">
      <c r="A90" s="10" t="s">
        <v>164</v>
      </c>
      <c r="B90" s="10">
        <v>2.34</v>
      </c>
      <c r="D90" s="10">
        <v>0.21</v>
      </c>
      <c r="E90" s="10">
        <v>0.21</v>
      </c>
      <c r="F90" s="10">
        <f>-LN(1-E90)</f>
        <v>0.23572233352106983</v>
      </c>
      <c r="G90" s="10">
        <f>LOG(F90)</f>
        <v>-0.6275992682798079</v>
      </c>
      <c r="J90" s="10">
        <v>0.23</v>
      </c>
      <c r="K90" s="10">
        <v>0.23</v>
      </c>
      <c r="L90" s="10">
        <f>-LN(1-K90)</f>
        <v>0.2613647641344075</v>
      </c>
      <c r="M90" s="10">
        <f>LOG(L90)</f>
        <v>-0.5827529621780622</v>
      </c>
      <c r="P90" s="10">
        <v>-0.7890960470073316</v>
      </c>
      <c r="Q90" s="10">
        <v>-0.5827529621780622</v>
      </c>
      <c r="R90" s="10">
        <v>1</v>
      </c>
      <c r="S90" s="10">
        <f aca="true" t="shared" si="19" ref="S90:S95">(R90-(3/8))/6.25</f>
        <v>0.1</v>
      </c>
      <c r="T90" s="10">
        <f aca="true" t="shared" si="20" ref="T90:T95">NORMSINV(S90)</f>
        <v>-1.2815507943741977</v>
      </c>
    </row>
    <row r="91" spans="1:20" ht="12.75">
      <c r="A91" s="10" t="s">
        <v>159</v>
      </c>
      <c r="B91" s="10">
        <v>1.82</v>
      </c>
      <c r="D91" s="10">
        <v>0.5</v>
      </c>
      <c r="J91" s="10">
        <v>0.5</v>
      </c>
      <c r="P91" s="10">
        <v>-0.6275992682798079</v>
      </c>
      <c r="Q91" s="10">
        <v>-0.2917273260110778</v>
      </c>
      <c r="R91" s="10">
        <v>2</v>
      </c>
      <c r="S91" s="10">
        <f t="shared" si="19"/>
        <v>0.26</v>
      </c>
      <c r="T91" s="10">
        <f t="shared" si="20"/>
        <v>-0.6433447197196074</v>
      </c>
    </row>
    <row r="92" spans="1:20" ht="12.75">
      <c r="A92" s="10" t="s">
        <v>159</v>
      </c>
      <c r="B92" s="10">
        <v>2.42</v>
      </c>
      <c r="D92" s="10">
        <v>0.68</v>
      </c>
      <c r="E92" s="10">
        <f>AVERAGE(D91:D92)</f>
        <v>0.5900000000000001</v>
      </c>
      <c r="F92" s="10">
        <f>-LN(1-E92)</f>
        <v>0.8915981192837837</v>
      </c>
      <c r="G92" s="10">
        <f>LOG(F92)</f>
        <v>-0.04983085628145465</v>
      </c>
      <c r="J92" s="10">
        <v>0.68</v>
      </c>
      <c r="K92" s="10">
        <f>AVERAGE(J91:J92)</f>
        <v>0.5900000000000001</v>
      </c>
      <c r="L92" s="10">
        <f>-LN(1-K92)</f>
        <v>0.8915981192837837</v>
      </c>
      <c r="M92" s="10">
        <f>LOG(L92)</f>
        <v>-0.04983085628145465</v>
      </c>
      <c r="P92" s="10">
        <v>-0.6275992682798079</v>
      </c>
      <c r="Q92" s="10">
        <v>-0.2917273260110778</v>
      </c>
      <c r="R92" s="10">
        <v>3</v>
      </c>
      <c r="S92" s="10">
        <f t="shared" si="19"/>
        <v>0.42</v>
      </c>
      <c r="T92" s="10">
        <f t="shared" si="20"/>
        <v>-0.20189418137306347</v>
      </c>
    </row>
    <row r="93" spans="1:20" ht="12.75">
      <c r="A93" s="10" t="s">
        <v>153</v>
      </c>
      <c r="B93" s="10">
        <v>2.1</v>
      </c>
      <c r="D93" s="10">
        <v>0.34</v>
      </c>
      <c r="J93" s="10">
        <v>0.51</v>
      </c>
      <c r="P93" s="10">
        <v>-0.31082729706517465</v>
      </c>
      <c r="Q93" s="10">
        <v>-0.2547003100517941</v>
      </c>
      <c r="R93" s="10">
        <v>4</v>
      </c>
      <c r="S93" s="10">
        <f t="shared" si="19"/>
        <v>0.58</v>
      </c>
      <c r="T93" s="10">
        <f t="shared" si="20"/>
        <v>0.20189418137306347</v>
      </c>
    </row>
    <row r="94" spans="1:20" ht="12.75">
      <c r="A94" s="10" t="s">
        <v>153</v>
      </c>
      <c r="B94" s="10">
        <v>2.84</v>
      </c>
      <c r="D94" s="10">
        <v>0.55</v>
      </c>
      <c r="E94" s="10">
        <f>AVERAGE(D93:D94)</f>
        <v>0.44500000000000006</v>
      </c>
      <c r="F94" s="10">
        <f>-LN(1-E94)</f>
        <v>0.5887871652357026</v>
      </c>
      <c r="G94" s="10">
        <f>LOG(F94)</f>
        <v>-0.2300416656000141</v>
      </c>
      <c r="J94" s="10">
        <v>0.65</v>
      </c>
      <c r="K94" s="10">
        <f>AVERAGE(J93:J94)</f>
        <v>0.5800000000000001</v>
      </c>
      <c r="L94" s="10">
        <f>-LN(1-K94)</f>
        <v>0.8675005677047232</v>
      </c>
      <c r="M94" s="10">
        <f>LOG(L94)</f>
        <v>-0.061730232328503144</v>
      </c>
      <c r="P94" s="10">
        <v>-0.2300416656000141</v>
      </c>
      <c r="Q94" s="10">
        <v>-0.061730232328503144</v>
      </c>
      <c r="R94" s="10">
        <v>5</v>
      </c>
      <c r="S94" s="10">
        <f t="shared" si="19"/>
        <v>0.74</v>
      </c>
      <c r="T94" s="10">
        <f t="shared" si="20"/>
        <v>0.6433447197196074</v>
      </c>
    </row>
    <row r="95" spans="1:20" ht="12.75">
      <c r="A95" s="10" t="s">
        <v>155</v>
      </c>
      <c r="B95" s="10">
        <v>2.36</v>
      </c>
      <c r="D95" s="10">
        <v>0.17</v>
      </c>
      <c r="J95" s="10">
        <v>0.4</v>
      </c>
      <c r="P95" s="10">
        <v>-0.04983085628145465</v>
      </c>
      <c r="Q95" s="10">
        <v>-0.04983085628145465</v>
      </c>
      <c r="R95" s="10">
        <v>6</v>
      </c>
      <c r="S95" s="10">
        <f t="shared" si="19"/>
        <v>0.9</v>
      </c>
      <c r="T95" s="10">
        <f t="shared" si="20"/>
        <v>1.2815507943741977</v>
      </c>
    </row>
    <row r="96" spans="1:13" ht="12.75">
      <c r="A96" s="10" t="s">
        <v>155</v>
      </c>
      <c r="B96" s="10">
        <v>2.91</v>
      </c>
      <c r="D96" s="10">
        <v>0.25</v>
      </c>
      <c r="E96" s="10">
        <f>AVERAGE(D95:D96)</f>
        <v>0.21000000000000002</v>
      </c>
      <c r="F96" s="10">
        <f>-LN(1-E96)</f>
        <v>0.23572233352106983</v>
      </c>
      <c r="G96" s="10">
        <f>LOG(F96)</f>
        <v>-0.6275992682798079</v>
      </c>
      <c r="J96" s="10">
        <v>0.4</v>
      </c>
      <c r="K96" s="10">
        <f>AVERAGE(J95:J96)</f>
        <v>0.4</v>
      </c>
      <c r="L96" s="10">
        <f>-LN(1-K96)</f>
        <v>0.5108256237659907</v>
      </c>
      <c r="M96" s="10">
        <f>LOG(L96)</f>
        <v>-0.2917273260110778</v>
      </c>
    </row>
    <row r="97" spans="1:30" ht="12.75">
      <c r="A97" s="10" t="s">
        <v>144</v>
      </c>
      <c r="B97" s="10">
        <v>1.34</v>
      </c>
      <c r="D97" s="10">
        <v>0.22</v>
      </c>
      <c r="J97" s="10">
        <v>0.28</v>
      </c>
      <c r="AD97" s="10" t="s">
        <v>20</v>
      </c>
    </row>
    <row r="98" spans="1:33" ht="12.75">
      <c r="A98" s="10" t="s">
        <v>144</v>
      </c>
      <c r="B98" s="10">
        <v>2.04</v>
      </c>
      <c r="D98" s="10">
        <v>0.28</v>
      </c>
      <c r="H98" s="10" t="s">
        <v>227</v>
      </c>
      <c r="J98" s="10">
        <v>0.34</v>
      </c>
      <c r="N98" s="10" t="s">
        <v>227</v>
      </c>
      <c r="V98" s="10" t="s">
        <v>227</v>
      </c>
      <c r="W98" s="10" t="s">
        <v>227</v>
      </c>
      <c r="Y98" s="10">
        <v>0.2847</v>
      </c>
      <c r="Z98" s="10">
        <f>Y98^2</f>
        <v>0.08105409000000001</v>
      </c>
      <c r="AA98" s="10">
        <v>5</v>
      </c>
      <c r="AB98" s="10">
        <f>Z98*AA98</f>
        <v>0.40527045000000006</v>
      </c>
      <c r="AD98" s="10">
        <v>0.2439</v>
      </c>
      <c r="AE98" s="10">
        <f>AD98^2</f>
        <v>0.059487210000000006</v>
      </c>
      <c r="AF98" s="10">
        <v>5</v>
      </c>
      <c r="AG98" s="10">
        <f>AE98*AF98</f>
        <v>0.29743605</v>
      </c>
    </row>
    <row r="99" spans="1:33" ht="12.75">
      <c r="A99" s="10" t="s">
        <v>144</v>
      </c>
      <c r="B99" s="10">
        <v>2.46</v>
      </c>
      <c r="D99" s="10">
        <v>0.66</v>
      </c>
      <c r="E99" s="10">
        <f>AVERAGE(D97:D99)</f>
        <v>0.3866666666666667</v>
      </c>
      <c r="F99" s="10">
        <f>-LN(1-E99)</f>
        <v>0.48884671704721555</v>
      </c>
      <c r="G99" s="10">
        <f>LOG(F99)</f>
        <v>-0.31082729706517465</v>
      </c>
      <c r="H99" s="10" t="s">
        <v>140</v>
      </c>
      <c r="J99" s="10">
        <v>0.66</v>
      </c>
      <c r="K99" s="10">
        <f>AVERAGE(J97:J99)</f>
        <v>0.42666666666666675</v>
      </c>
      <c r="L99" s="10">
        <f>-LN(1-K99)</f>
        <v>0.5562879978427482</v>
      </c>
      <c r="M99" s="10">
        <f>LOG(L99)</f>
        <v>-0.2547003100517941</v>
      </c>
      <c r="N99" s="10" t="s">
        <v>140</v>
      </c>
      <c r="V99" s="10" t="s">
        <v>140</v>
      </c>
      <c r="W99" s="10" t="s">
        <v>140</v>
      </c>
      <c r="Y99" s="10">
        <v>0.1947</v>
      </c>
      <c r="Z99" s="10">
        <f>Y99^2</f>
        <v>0.037908090000000005</v>
      </c>
      <c r="AA99" s="10">
        <v>5</v>
      </c>
      <c r="AB99" s="10">
        <f>Z99*AA99</f>
        <v>0.18954045000000003</v>
      </c>
      <c r="AD99" s="10">
        <v>0.221</v>
      </c>
      <c r="AE99" s="10">
        <f>AD99^2</f>
        <v>0.048841</v>
      </c>
      <c r="AF99" s="10">
        <v>21</v>
      </c>
      <c r="AG99" s="10">
        <f>AE99*AF99</f>
        <v>1.0256610000000002</v>
      </c>
    </row>
    <row r="100" spans="1:33" ht="12.75">
      <c r="A100" s="10" t="s">
        <v>147</v>
      </c>
      <c r="B100" s="10">
        <v>2.59</v>
      </c>
      <c r="D100" s="10">
        <v>0.15</v>
      </c>
      <c r="E100" s="10">
        <v>0.15</v>
      </c>
      <c r="F100" s="10">
        <f>-LN(1-E100)</f>
        <v>0.1625189294977749</v>
      </c>
      <c r="G100" s="10">
        <f>LOG(F100)</f>
        <v>-0.7890960470073316</v>
      </c>
      <c r="H100" s="26">
        <f>STDEV(G90:G100)</f>
        <v>0.28469313129435314</v>
      </c>
      <c r="J100" s="10">
        <v>0.4</v>
      </c>
      <c r="K100" s="10">
        <v>0.4</v>
      </c>
      <c r="L100" s="10">
        <f>-LN(1-K100)</f>
        <v>0.5108256237659907</v>
      </c>
      <c r="M100" s="10">
        <f>LOG(L100)</f>
        <v>-0.2917273260110778</v>
      </c>
      <c r="N100" s="26">
        <f>STDEV(M90:M100)</f>
        <v>0.19471335424583355</v>
      </c>
      <c r="V100" s="10">
        <v>0.28469313129435314</v>
      </c>
      <c r="W100" s="10">
        <v>0.19471335424583355</v>
      </c>
      <c r="Z100" s="26">
        <f>SQRT(AB100/AA100)</f>
        <v>0.24388745355183816</v>
      </c>
      <c r="AA100" s="10">
        <f>SUM(AA98:AA99)</f>
        <v>10</v>
      </c>
      <c r="AB100" s="10">
        <f>SUM(AB98:AB99)</f>
        <v>0.5948109000000001</v>
      </c>
      <c r="AD100" s="10">
        <v>0.1682</v>
      </c>
      <c r="AE100" s="10">
        <f>AD100^2</f>
        <v>0.028291239999999995</v>
      </c>
      <c r="AF100" s="10">
        <v>19</v>
      </c>
      <c r="AG100" s="10">
        <f>AE100*AF100</f>
        <v>0.53753356</v>
      </c>
    </row>
    <row r="101" spans="4:33" ht="12.75">
      <c r="D101" s="14"/>
      <c r="E101" s="14">
        <f>AVERAGE(E90:E100)</f>
        <v>0.33194444444444443</v>
      </c>
      <c r="J101" s="14"/>
      <c r="K101" s="14">
        <f>AVERAGE(K90:K100)</f>
        <v>0.4377777777777778</v>
      </c>
      <c r="AD101" s="10">
        <v>0.165</v>
      </c>
      <c r="AE101" s="10">
        <f>AD101^2</f>
        <v>0.027225000000000003</v>
      </c>
      <c r="AF101" s="10">
        <v>21</v>
      </c>
      <c r="AG101" s="10">
        <f>AE101*AF101</f>
        <v>0.571725</v>
      </c>
    </row>
    <row r="102" spans="1:33" ht="12.75">
      <c r="A102" s="10" t="s">
        <v>179</v>
      </c>
      <c r="P102" s="21" t="s">
        <v>188</v>
      </c>
      <c r="Q102" s="21"/>
      <c r="V102" s="10">
        <v>22</v>
      </c>
      <c r="W102" s="10">
        <v>22</v>
      </c>
      <c r="Y102" s="10">
        <v>0.2367</v>
      </c>
      <c r="Z102" s="10">
        <f>Y102^2</f>
        <v>0.056026889999999996</v>
      </c>
      <c r="AA102" s="10">
        <v>21</v>
      </c>
      <c r="AB102" s="10">
        <f>Z102*AA102</f>
        <v>1.17656469</v>
      </c>
      <c r="AE102" s="26">
        <f>SQRT(AG102/AF102)</f>
        <v>0.19197362547701152</v>
      </c>
      <c r="AF102" s="10">
        <f>SUM(AF98:AF101)</f>
        <v>66</v>
      </c>
      <c r="AG102" s="10">
        <f>SUM(AG98:AG101)</f>
        <v>2.43235561</v>
      </c>
    </row>
    <row r="103" spans="16:30" ht="12.75">
      <c r="P103" s="21" t="s">
        <v>189</v>
      </c>
      <c r="Q103" s="21" t="s">
        <v>190</v>
      </c>
      <c r="V103" s="10" t="s">
        <v>140</v>
      </c>
      <c r="W103" s="10" t="s">
        <v>140</v>
      </c>
      <c r="Y103" s="10">
        <v>0.2042</v>
      </c>
      <c r="Z103" s="10">
        <f>Y103^2</f>
        <v>0.041697639999999994</v>
      </c>
      <c r="AA103" s="10">
        <v>21</v>
      </c>
      <c r="AB103" s="10">
        <f>Z103*AA103</f>
        <v>0.8756504399999999</v>
      </c>
      <c r="AD103" s="10" t="s">
        <v>21</v>
      </c>
    </row>
    <row r="104" spans="1:33" ht="12.75">
      <c r="A104" s="10" t="s">
        <v>158</v>
      </c>
      <c r="B104" s="10">
        <v>3.76</v>
      </c>
      <c r="D104" s="10">
        <v>0.85</v>
      </c>
      <c r="E104" s="10">
        <v>0.85</v>
      </c>
      <c r="F104" s="10">
        <f>-LN(1-E104)</f>
        <v>1.8971199848858813</v>
      </c>
      <c r="G104" s="10">
        <f>LOG(F104)</f>
        <v>0.2780947990626133</v>
      </c>
      <c r="J104" s="10">
        <v>0.85</v>
      </c>
      <c r="K104" s="10">
        <v>0.85</v>
      </c>
      <c r="L104" s="10">
        <f>-LN(1-K104)</f>
        <v>1.8971199848858813</v>
      </c>
      <c r="M104" s="10">
        <f>LOG(L104)</f>
        <v>0.2780947990626133</v>
      </c>
      <c r="P104" s="21">
        <v>-0.5615575809729126</v>
      </c>
      <c r="Q104" s="21">
        <v>-0.38141282963515083</v>
      </c>
      <c r="R104" s="21">
        <v>1</v>
      </c>
      <c r="S104" s="21">
        <f>(R104-(3/8))/22.25</f>
        <v>0.028089887640449437</v>
      </c>
      <c r="T104" s="21">
        <f>NORMSINV(S104)</f>
        <v>-1.9096387404715642</v>
      </c>
      <c r="V104" s="26">
        <v>0.23671027091775357</v>
      </c>
      <c r="W104" s="10">
        <v>0.20420202579903396</v>
      </c>
      <c r="Z104" s="26">
        <f>SQRT(AB104/AA104)</f>
        <v>0.2210481056240926</v>
      </c>
      <c r="AA104" s="10">
        <f>SUM(AA102:AA103)</f>
        <v>42</v>
      </c>
      <c r="AB104" s="10">
        <f>SUM(AB102:AB103)</f>
        <v>2.05221513</v>
      </c>
      <c r="AD104" s="10">
        <v>0.2847</v>
      </c>
      <c r="AE104" s="10">
        <f>AD104^2</f>
        <v>0.08105409000000001</v>
      </c>
      <c r="AF104" s="10">
        <v>5</v>
      </c>
      <c r="AG104" s="10">
        <f>AE104*AF104</f>
        <v>0.40527045000000006</v>
      </c>
    </row>
    <row r="105" spans="1:33" ht="12.75">
      <c r="A105" s="10" t="s">
        <v>148</v>
      </c>
      <c r="B105" s="10">
        <v>3.68</v>
      </c>
      <c r="D105" s="10">
        <v>0.69</v>
      </c>
      <c r="J105" s="10">
        <v>0.79</v>
      </c>
      <c r="P105" s="21">
        <v>-0.38141282963515094</v>
      </c>
      <c r="Q105" s="21">
        <v>-0.21028807498930588</v>
      </c>
      <c r="R105" s="21">
        <f>1+R104</f>
        <v>2</v>
      </c>
      <c r="S105" s="21">
        <f aca="true" t="shared" si="21" ref="S105:S125">(R105-(3/8))/22.25</f>
        <v>0.07303370786516854</v>
      </c>
      <c r="T105" s="21">
        <f aca="true" t="shared" si="22" ref="T105:T125">NORMSINV(S105)</f>
        <v>-1.4535635273205116</v>
      </c>
      <c r="AD105" s="10">
        <v>0.2367</v>
      </c>
      <c r="AE105" s="10">
        <f>AD105^2</f>
        <v>0.056026889999999996</v>
      </c>
      <c r="AF105" s="10">
        <v>21</v>
      </c>
      <c r="AG105" s="10">
        <f>AE105*AF105</f>
        <v>1.17656469</v>
      </c>
    </row>
    <row r="106" spans="1:33" ht="12.75">
      <c r="A106" s="10" t="s">
        <v>148</v>
      </c>
      <c r="B106" s="10">
        <v>3.9</v>
      </c>
      <c r="D106" s="10">
        <v>0.62</v>
      </c>
      <c r="E106" s="10">
        <f>AVERAGE(D105:D106)</f>
        <v>0.655</v>
      </c>
      <c r="F106" s="10">
        <f>-LN(1-E106)</f>
        <v>1.0642108619507773</v>
      </c>
      <c r="G106" s="10">
        <f>LOG(F106)</f>
        <v>0.02702768727166877</v>
      </c>
      <c r="J106" s="10">
        <v>0.67</v>
      </c>
      <c r="K106" s="10">
        <f>AVERAGE(J105:J106)</f>
        <v>0.73</v>
      </c>
      <c r="L106" s="10">
        <f>-LN(1-K106)</f>
        <v>1.3093333199837622</v>
      </c>
      <c r="M106" s="10">
        <f>LOG(L106)</f>
        <v>0.11705021996731295</v>
      </c>
      <c r="P106" s="21">
        <v>-0.3060126212233984</v>
      </c>
      <c r="Q106" s="21">
        <v>-0.21028807498930588</v>
      </c>
      <c r="R106" s="21">
        <f aca="true" t="shared" si="23" ref="R106:R125">1+R105</f>
        <v>3</v>
      </c>
      <c r="S106" s="21">
        <f t="shared" si="21"/>
        <v>0.11797752808988764</v>
      </c>
      <c r="T106" s="21">
        <f t="shared" si="22"/>
        <v>-1.185157998406794</v>
      </c>
      <c r="V106" s="10">
        <v>20</v>
      </c>
      <c r="W106" s="10">
        <v>19</v>
      </c>
      <c r="Y106" s="10">
        <v>0.1558</v>
      </c>
      <c r="Z106" s="10">
        <f>Y106^2</f>
        <v>0.02427364</v>
      </c>
      <c r="AA106" s="10">
        <v>19</v>
      </c>
      <c r="AB106" s="10">
        <f>Z106*AA106</f>
        <v>0.46119916</v>
      </c>
      <c r="AD106" s="10">
        <v>0.1558</v>
      </c>
      <c r="AE106" s="10">
        <f>AD106^2</f>
        <v>0.02427364</v>
      </c>
      <c r="AF106" s="10">
        <v>19</v>
      </c>
      <c r="AG106" s="10">
        <f>AE106*AF106</f>
        <v>0.46119916</v>
      </c>
    </row>
    <row r="107" spans="1:33" ht="12.75">
      <c r="A107" s="10" t="s">
        <v>163</v>
      </c>
      <c r="B107" s="10">
        <v>3.63</v>
      </c>
      <c r="D107" s="10">
        <v>0.51</v>
      </c>
      <c r="E107" s="10">
        <v>0.51</v>
      </c>
      <c r="F107" s="10">
        <f>-LN(1-E107)</f>
        <v>0.7133498878774648</v>
      </c>
      <c r="G107" s="10">
        <f>LOG(F107)</f>
        <v>-0.1466974026829814</v>
      </c>
      <c r="J107" s="10">
        <v>0.6</v>
      </c>
      <c r="K107" s="10">
        <v>0.6</v>
      </c>
      <c r="L107" s="10">
        <f>-LN(1-K107)</f>
        <v>0.916290731874155</v>
      </c>
      <c r="M107" s="10">
        <f>LOG(L107)</f>
        <v>-0.03796670622803395</v>
      </c>
      <c r="P107" s="21">
        <v>-0.2917273260110778</v>
      </c>
      <c r="Q107" s="21">
        <v>-0.03796670622803395</v>
      </c>
      <c r="R107" s="21">
        <f t="shared" si="23"/>
        <v>4</v>
      </c>
      <c r="S107" s="21">
        <f t="shared" si="21"/>
        <v>0.16292134831460675</v>
      </c>
      <c r="T107" s="21">
        <f t="shared" si="22"/>
        <v>-0.9825225788517855</v>
      </c>
      <c r="V107" s="10" t="s">
        <v>140</v>
      </c>
      <c r="W107" s="10" t="s">
        <v>140</v>
      </c>
      <c r="Y107" s="10">
        <v>0.1803</v>
      </c>
      <c r="Z107" s="10">
        <f>Y107^2</f>
        <v>0.032508089999999996</v>
      </c>
      <c r="AA107" s="10">
        <v>18</v>
      </c>
      <c r="AB107" s="10">
        <f>Z107*AA107</f>
        <v>0.5851456199999999</v>
      </c>
      <c r="AD107" s="10">
        <v>0.1847</v>
      </c>
      <c r="AE107" s="10">
        <f>AD107^2</f>
        <v>0.03411409</v>
      </c>
      <c r="AF107" s="10">
        <v>21</v>
      </c>
      <c r="AG107" s="10">
        <f>AE107*AF107</f>
        <v>0.71639589</v>
      </c>
    </row>
    <row r="108" spans="1:33" ht="12.75">
      <c r="A108" s="10" t="s">
        <v>162</v>
      </c>
      <c r="B108" s="10">
        <v>3.76</v>
      </c>
      <c r="D108" s="10">
        <v>0.77</v>
      </c>
      <c r="E108" s="10">
        <v>0.77</v>
      </c>
      <c r="F108" s="10">
        <f>-LN(1-E108)</f>
        <v>1.4696759700589417</v>
      </c>
      <c r="G108" s="10">
        <f>LOG(F108)</f>
        <v>0.16722159330090347</v>
      </c>
      <c r="J108" s="10">
        <v>0.79</v>
      </c>
      <c r="K108" s="10">
        <v>0.79</v>
      </c>
      <c r="L108" s="10">
        <f>-LN(1-K108)</f>
        <v>1.5606477482646686</v>
      </c>
      <c r="M108" s="10">
        <f>LOG(L108)</f>
        <v>0.19330489009113996</v>
      </c>
      <c r="P108" s="21">
        <v>-0.1466974026829814</v>
      </c>
      <c r="Q108" s="21">
        <v>-0.02612961134072586</v>
      </c>
      <c r="R108" s="21">
        <f t="shared" si="23"/>
        <v>5</v>
      </c>
      <c r="S108" s="21">
        <f t="shared" si="21"/>
        <v>0.20786516853932585</v>
      </c>
      <c r="T108" s="21">
        <f t="shared" si="22"/>
        <v>-0.8138499651977327</v>
      </c>
      <c r="V108" s="10">
        <v>0.15578945277215778</v>
      </c>
      <c r="W108" s="10">
        <v>0.18028671830071855</v>
      </c>
      <c r="Z108" s="26">
        <f>SQRT(AB108/AA108)</f>
        <v>0.16816536102494073</v>
      </c>
      <c r="AA108" s="10">
        <f>SUM(AA106:AA107)</f>
        <v>37</v>
      </c>
      <c r="AB108" s="10">
        <f>SUM(AB106:AB107)</f>
        <v>1.0463447799999999</v>
      </c>
      <c r="AE108" s="26">
        <f>SQRT(AG108/AF108)</f>
        <v>0.2044738328816999</v>
      </c>
      <c r="AF108" s="10">
        <f>SUM(AF104:AF107)</f>
        <v>66</v>
      </c>
      <c r="AG108" s="10">
        <f>SUM(AG104:AG107)</f>
        <v>2.75943019</v>
      </c>
    </row>
    <row r="109" spans="1:30" ht="12.75">
      <c r="A109" s="10" t="s">
        <v>142</v>
      </c>
      <c r="B109" s="10">
        <v>3.02</v>
      </c>
      <c r="D109" s="10">
        <v>0.68</v>
      </c>
      <c r="E109" s="10">
        <v>0.68</v>
      </c>
      <c r="F109" s="10">
        <f>-LN(1-E109)</f>
        <v>1.139434283188365</v>
      </c>
      <c r="G109" s="10">
        <f>LOG(F109)</f>
        <v>0.056689282327557225</v>
      </c>
      <c r="J109" s="10">
        <v>0.69</v>
      </c>
      <c r="K109" s="10">
        <v>0.69</v>
      </c>
      <c r="L109" s="10">
        <f>-LN(1-K109)</f>
        <v>1.1711829815029449</v>
      </c>
      <c r="M109" s="10">
        <f>LOG(L109)</f>
        <v>0.06862475301327431</v>
      </c>
      <c r="P109" s="21">
        <v>-0.1098424383400924</v>
      </c>
      <c r="Q109" s="21">
        <v>0.06862475301327431</v>
      </c>
      <c r="R109" s="21">
        <f t="shared" si="23"/>
        <v>6</v>
      </c>
      <c r="S109" s="21">
        <f t="shared" si="21"/>
        <v>0.25280898876404495</v>
      </c>
      <c r="T109" s="21">
        <f t="shared" si="22"/>
        <v>-0.6656762252532644</v>
      </c>
      <c r="AD109" s="10" t="s">
        <v>22</v>
      </c>
    </row>
    <row r="110" spans="1:33" ht="12.75">
      <c r="A110" s="10" t="s">
        <v>164</v>
      </c>
      <c r="B110" s="10">
        <v>3.22</v>
      </c>
      <c r="D110" s="10">
        <v>0.53</v>
      </c>
      <c r="J110" s="10">
        <v>0.61</v>
      </c>
      <c r="P110" s="21">
        <v>-0.03796670622803395</v>
      </c>
      <c r="Q110" s="21">
        <v>0.08061667706751091</v>
      </c>
      <c r="R110" s="21">
        <f t="shared" si="23"/>
        <v>7</v>
      </c>
      <c r="S110" s="21">
        <f t="shared" si="21"/>
        <v>0.29775280898876405</v>
      </c>
      <c r="T110" s="21">
        <f t="shared" si="22"/>
        <v>-0.5308743311616126</v>
      </c>
      <c r="V110" s="10">
        <v>22</v>
      </c>
      <c r="W110" s="10">
        <v>21</v>
      </c>
      <c r="Y110" s="10">
        <v>0.1847</v>
      </c>
      <c r="Z110" s="10">
        <f>Y110^2</f>
        <v>0.03411409</v>
      </c>
      <c r="AA110" s="10">
        <v>21</v>
      </c>
      <c r="AB110" s="10">
        <f>Z110*AA110</f>
        <v>0.71639589</v>
      </c>
      <c r="AD110" s="10">
        <v>0.1947</v>
      </c>
      <c r="AE110" s="10">
        <f>AD110^2</f>
        <v>0.037908090000000005</v>
      </c>
      <c r="AF110" s="10">
        <v>5</v>
      </c>
      <c r="AG110" s="10">
        <f>AE110*AF110</f>
        <v>0.18954045000000003</v>
      </c>
    </row>
    <row r="111" spans="1:33" ht="12.75">
      <c r="A111" s="10" t="s">
        <v>164</v>
      </c>
      <c r="B111" s="10">
        <v>3.66</v>
      </c>
      <c r="D111" s="10">
        <v>0.8</v>
      </c>
      <c r="E111" s="10">
        <f>AVERAGE(D110:D111)</f>
        <v>0.665</v>
      </c>
      <c r="F111" s="10">
        <f aca="true" t="shared" si="24" ref="F111:F121">-LN(1-E111)</f>
        <v>1.0936247471570708</v>
      </c>
      <c r="G111" s="10">
        <f aca="true" t="shared" si="25" ref="G111:G121">LOG(F111)</f>
        <v>0.03886832913123339</v>
      </c>
      <c r="K111" s="10">
        <f>AVERAGE(J110:J111)</f>
        <v>0.61</v>
      </c>
      <c r="L111" s="10">
        <f aca="true" t="shared" si="26" ref="L111:L121">-LN(1-K111)</f>
        <v>0.9416085398584448</v>
      </c>
      <c r="M111" s="10">
        <f aca="true" t="shared" si="27" ref="M111:M121">LOG(L111)</f>
        <v>-0.02612961134072586</v>
      </c>
      <c r="P111" s="21">
        <v>-0.02612961134072586</v>
      </c>
      <c r="Q111" s="21">
        <v>0.08061667706751091</v>
      </c>
      <c r="R111" s="21">
        <f t="shared" si="23"/>
        <v>8</v>
      </c>
      <c r="S111" s="21">
        <f t="shared" si="21"/>
        <v>0.34269662921348315</v>
      </c>
      <c r="T111" s="21">
        <f t="shared" si="22"/>
        <v>-0.405113951273961</v>
      </c>
      <c r="V111" s="10" t="s">
        <v>140</v>
      </c>
      <c r="W111" s="10" t="s">
        <v>140</v>
      </c>
      <c r="Y111" s="10">
        <v>0.1414</v>
      </c>
      <c r="Z111" s="10">
        <f>Y111^2</f>
        <v>0.019993959999999998</v>
      </c>
      <c r="AA111" s="10">
        <v>20</v>
      </c>
      <c r="AB111" s="10">
        <f>Z111*AA111</f>
        <v>0.3998792</v>
      </c>
      <c r="AD111" s="10">
        <v>0.2042</v>
      </c>
      <c r="AE111" s="10">
        <f>AD111^2</f>
        <v>0.041697639999999994</v>
      </c>
      <c r="AF111" s="10">
        <v>21</v>
      </c>
      <c r="AG111" s="10">
        <f>AE111*AF111</f>
        <v>0.8756504399999999</v>
      </c>
    </row>
    <row r="112" spans="1:33" ht="12.75">
      <c r="A112" s="10" t="s">
        <v>152</v>
      </c>
      <c r="B112" s="10">
        <v>3.74</v>
      </c>
      <c r="D112" s="10">
        <v>0.4</v>
      </c>
      <c r="E112" s="10">
        <v>0.4</v>
      </c>
      <c r="F112" s="10">
        <f t="shared" si="24"/>
        <v>0.5108256237659907</v>
      </c>
      <c r="G112" s="10">
        <f t="shared" si="25"/>
        <v>-0.2917273260110778</v>
      </c>
      <c r="J112" s="10">
        <v>0.46</v>
      </c>
      <c r="K112" s="10">
        <v>0.46</v>
      </c>
      <c r="L112" s="10">
        <f t="shared" si="26"/>
        <v>0.616186139423817</v>
      </c>
      <c r="M112" s="10">
        <f t="shared" si="27"/>
        <v>-0.21028807498930588</v>
      </c>
      <c r="P112" s="21">
        <v>0.0211157210768562</v>
      </c>
      <c r="Q112" s="21">
        <v>0.11705021996731295</v>
      </c>
      <c r="R112" s="21">
        <f t="shared" si="23"/>
        <v>9</v>
      </c>
      <c r="S112" s="21">
        <f t="shared" si="21"/>
        <v>0.38764044943820225</v>
      </c>
      <c r="T112" s="21">
        <f t="shared" si="22"/>
        <v>-0.28547447072924115</v>
      </c>
      <c r="V112" s="10">
        <v>0.1846606245689666</v>
      </c>
      <c r="W112" s="10">
        <v>0.1413556626400213</v>
      </c>
      <c r="Z112" s="26">
        <f>SQRT(AB112/AA112)</f>
        <v>0.1650037021018531</v>
      </c>
      <c r="AA112" s="10">
        <f>SUM(AA110:AA111)</f>
        <v>41</v>
      </c>
      <c r="AB112" s="10">
        <f>SUM(AB110:AB111)</f>
        <v>1.11627509</v>
      </c>
      <c r="AD112" s="10">
        <v>0.1803</v>
      </c>
      <c r="AE112" s="10">
        <f>AD112^2</f>
        <v>0.032508089999999996</v>
      </c>
      <c r="AF112" s="10">
        <v>19</v>
      </c>
      <c r="AG112" s="10">
        <f>AE112*AF112</f>
        <v>0.6176537099999999</v>
      </c>
    </row>
    <row r="113" spans="1:33" ht="12.75">
      <c r="A113" s="10" t="s">
        <v>149</v>
      </c>
      <c r="B113" s="10">
        <v>3.41</v>
      </c>
      <c r="D113" s="10">
        <v>0.54</v>
      </c>
      <c r="E113" s="10">
        <v>0.54</v>
      </c>
      <c r="F113" s="10">
        <f t="shared" si="24"/>
        <v>0.7765287894989965</v>
      </c>
      <c r="G113" s="10">
        <f t="shared" si="25"/>
        <v>-0.1098424383400924</v>
      </c>
      <c r="J113" s="10">
        <v>0.7</v>
      </c>
      <c r="K113" s="10">
        <v>0.7</v>
      </c>
      <c r="L113" s="10">
        <f t="shared" si="26"/>
        <v>1.203972804325936</v>
      </c>
      <c r="M113" s="10">
        <f t="shared" si="27"/>
        <v>0.08061667706751091</v>
      </c>
      <c r="P113" s="21">
        <v>0.02702768727166877</v>
      </c>
      <c r="Q113" s="21">
        <v>0.1418554567091196</v>
      </c>
      <c r="R113" s="21">
        <f t="shared" si="23"/>
        <v>10</v>
      </c>
      <c r="S113" s="21">
        <f t="shared" si="21"/>
        <v>0.43258426966292135</v>
      </c>
      <c r="T113" s="21">
        <f t="shared" si="22"/>
        <v>-0.16979811334749684</v>
      </c>
      <c r="AD113" s="10">
        <v>0.1414</v>
      </c>
      <c r="AE113" s="10">
        <f>AD113^2</f>
        <v>0.019993959999999998</v>
      </c>
      <c r="AF113" s="10">
        <v>21</v>
      </c>
      <c r="AG113" s="10">
        <f>AE113*AF113</f>
        <v>0.41987315999999997</v>
      </c>
    </row>
    <row r="114" spans="1:33" ht="12.75">
      <c r="A114" s="10" t="s">
        <v>157</v>
      </c>
      <c r="B114" s="10">
        <v>3.8</v>
      </c>
      <c r="D114" s="10">
        <v>0.71</v>
      </c>
      <c r="E114" s="10">
        <v>0.71</v>
      </c>
      <c r="F114" s="10">
        <f t="shared" si="24"/>
        <v>1.2378743560016172</v>
      </c>
      <c r="G114" s="10">
        <f t="shared" si="25"/>
        <v>0.0926765661184026</v>
      </c>
      <c r="J114" s="10">
        <v>0.77</v>
      </c>
      <c r="K114" s="10">
        <v>0.77</v>
      </c>
      <c r="L114" s="10">
        <f t="shared" si="26"/>
        <v>1.4696759700589417</v>
      </c>
      <c r="M114" s="10">
        <f t="shared" si="27"/>
        <v>0.16722159330090347</v>
      </c>
      <c r="P114" s="21">
        <v>0.03886832913123339</v>
      </c>
      <c r="Q114" s="21">
        <v>0.15445938345268856</v>
      </c>
      <c r="R114" s="21">
        <f t="shared" si="23"/>
        <v>11</v>
      </c>
      <c r="S114" s="21">
        <f t="shared" si="21"/>
        <v>0.47752808988764045</v>
      </c>
      <c r="T114" s="21">
        <f t="shared" si="22"/>
        <v>-0.05635911293211393</v>
      </c>
      <c r="AE114" s="26">
        <f>SQRT(AG114/AF114)</f>
        <v>0.17849190457833097</v>
      </c>
      <c r="AF114" s="10">
        <f>SUM(AF110:AF113)</f>
        <v>66</v>
      </c>
      <c r="AG114" s="10">
        <f>SUM(AG110:AG113)</f>
        <v>2.10271776</v>
      </c>
    </row>
    <row r="115" spans="1:20" ht="12.75">
      <c r="A115" s="10" t="s">
        <v>154</v>
      </c>
      <c r="B115" s="10">
        <v>3.78</v>
      </c>
      <c r="D115" s="10">
        <v>0.24</v>
      </c>
      <c r="E115" s="10">
        <v>0.24</v>
      </c>
      <c r="F115" s="10">
        <f t="shared" si="24"/>
        <v>0.27443684570176025</v>
      </c>
      <c r="G115" s="10">
        <f t="shared" si="25"/>
        <v>-0.5615575809729126</v>
      </c>
      <c r="J115" s="10">
        <v>0.46</v>
      </c>
      <c r="K115" s="10">
        <v>0.46</v>
      </c>
      <c r="L115" s="10">
        <f t="shared" si="26"/>
        <v>0.616186139423817</v>
      </c>
      <c r="M115" s="10">
        <f t="shared" si="27"/>
        <v>-0.21028807498930588</v>
      </c>
      <c r="P115" s="21">
        <v>0.056689282327557225</v>
      </c>
      <c r="Q115" s="21">
        <v>0.16722159330090347</v>
      </c>
      <c r="R115" s="21">
        <f t="shared" si="23"/>
        <v>12</v>
      </c>
      <c r="S115" s="21">
        <f t="shared" si="21"/>
        <v>0.5224719101123596</v>
      </c>
      <c r="T115" s="21">
        <f t="shared" si="22"/>
        <v>0.05635911293211393</v>
      </c>
    </row>
    <row r="116" spans="1:20" ht="12.75">
      <c r="A116" s="10" t="s">
        <v>165</v>
      </c>
      <c r="B116" s="10">
        <v>3.52</v>
      </c>
      <c r="D116" s="10">
        <v>0.65</v>
      </c>
      <c r="E116" s="10">
        <v>0.65</v>
      </c>
      <c r="F116" s="10">
        <f t="shared" si="24"/>
        <v>1.0498221244986778</v>
      </c>
      <c r="G116" s="10">
        <f t="shared" si="25"/>
        <v>0.0211157210768562</v>
      </c>
      <c r="J116" s="10">
        <v>0.75</v>
      </c>
      <c r="K116" s="10">
        <v>0.75</v>
      </c>
      <c r="L116" s="10">
        <f t="shared" si="26"/>
        <v>1.3862943611198906</v>
      </c>
      <c r="M116" s="10">
        <f t="shared" si="27"/>
        <v>0.1418554567091196</v>
      </c>
      <c r="P116" s="21">
        <v>0.0926765661184026</v>
      </c>
      <c r="Q116" s="21">
        <v>0.1801625140255562</v>
      </c>
      <c r="R116" s="21">
        <f t="shared" si="23"/>
        <v>13</v>
      </c>
      <c r="S116" s="21">
        <f t="shared" si="21"/>
        <v>0.5674157303370787</v>
      </c>
      <c r="T116" s="21">
        <f t="shared" si="22"/>
        <v>0.16979811334749684</v>
      </c>
    </row>
    <row r="117" spans="1:20" ht="12.75">
      <c r="A117" s="10" t="s">
        <v>159</v>
      </c>
      <c r="B117" s="10">
        <v>3.56</v>
      </c>
      <c r="D117" s="10">
        <v>0.85</v>
      </c>
      <c r="E117" s="10">
        <v>0.85</v>
      </c>
      <c r="F117" s="10">
        <f t="shared" si="24"/>
        <v>1.8971199848858813</v>
      </c>
      <c r="G117" s="10">
        <f t="shared" si="25"/>
        <v>0.2780947990626133</v>
      </c>
      <c r="J117" s="10">
        <v>0.89</v>
      </c>
      <c r="K117" s="10">
        <v>0.89</v>
      </c>
      <c r="L117" s="10">
        <f t="shared" si="26"/>
        <v>2.207274913189721</v>
      </c>
      <c r="M117" s="10">
        <f t="shared" si="27"/>
        <v>0.343856427337392</v>
      </c>
      <c r="P117" s="21">
        <v>0.16722159330090347</v>
      </c>
      <c r="Q117" s="21">
        <v>0.19330489009113996</v>
      </c>
      <c r="R117" s="21">
        <f t="shared" si="23"/>
        <v>14</v>
      </c>
      <c r="S117" s="21">
        <f t="shared" si="21"/>
        <v>0.6123595505617978</v>
      </c>
      <c r="T117" s="21">
        <f t="shared" si="22"/>
        <v>0.28547447072924115</v>
      </c>
    </row>
    <row r="118" spans="1:20" ht="12.75">
      <c r="A118" s="10" t="s">
        <v>153</v>
      </c>
      <c r="B118" s="10">
        <v>3.6</v>
      </c>
      <c r="D118" s="10">
        <v>0.83</v>
      </c>
      <c r="E118" s="10">
        <v>0.83</v>
      </c>
      <c r="F118" s="10">
        <f t="shared" si="24"/>
        <v>1.771956841931875</v>
      </c>
      <c r="G118" s="10">
        <f t="shared" si="25"/>
        <v>0.24845313993303417</v>
      </c>
      <c r="J118" s="10">
        <v>0.87</v>
      </c>
      <c r="K118" s="10">
        <v>0.87</v>
      </c>
      <c r="L118" s="10">
        <f t="shared" si="26"/>
        <v>2.0402208285265546</v>
      </c>
      <c r="M118" s="10">
        <f t="shared" si="27"/>
        <v>0.30967717694555646</v>
      </c>
      <c r="P118" s="21">
        <v>0.1801625140255562</v>
      </c>
      <c r="Q118" s="21">
        <v>0.20667422749111897</v>
      </c>
      <c r="R118" s="21">
        <f t="shared" si="23"/>
        <v>15</v>
      </c>
      <c r="S118" s="21">
        <f t="shared" si="21"/>
        <v>0.6573033707865169</v>
      </c>
      <c r="T118" s="21">
        <f t="shared" si="22"/>
        <v>0.405113951273961</v>
      </c>
    </row>
    <row r="119" spans="1:20" ht="12.75">
      <c r="A119" s="10" t="s">
        <v>151</v>
      </c>
      <c r="B119" s="10">
        <v>3.59</v>
      </c>
      <c r="D119" s="10">
        <v>0.61</v>
      </c>
      <c r="E119" s="10">
        <v>0.61</v>
      </c>
      <c r="F119" s="10">
        <f t="shared" si="24"/>
        <v>0.9416085398584448</v>
      </c>
      <c r="G119" s="10">
        <f t="shared" si="25"/>
        <v>-0.02612961134072586</v>
      </c>
      <c r="J119" s="10">
        <v>0.7</v>
      </c>
      <c r="K119" s="10">
        <v>0.7</v>
      </c>
      <c r="L119" s="10">
        <f t="shared" si="26"/>
        <v>1.203972804325936</v>
      </c>
      <c r="M119" s="10">
        <f t="shared" si="27"/>
        <v>0.08061667706751091</v>
      </c>
      <c r="P119" s="21">
        <v>0.19330489009113996</v>
      </c>
      <c r="Q119" s="21">
        <v>0.23421307673309275</v>
      </c>
      <c r="R119" s="21">
        <f t="shared" si="23"/>
        <v>16</v>
      </c>
      <c r="S119" s="21">
        <f t="shared" si="21"/>
        <v>0.702247191011236</v>
      </c>
      <c r="T119" s="21">
        <f t="shared" si="22"/>
        <v>0.5308743311616126</v>
      </c>
    </row>
    <row r="120" spans="1:20" ht="12.75">
      <c r="A120" s="10" t="s">
        <v>155</v>
      </c>
      <c r="B120" s="10">
        <v>3.77</v>
      </c>
      <c r="D120" s="10">
        <v>0.39</v>
      </c>
      <c r="E120" s="10">
        <v>0.39</v>
      </c>
      <c r="F120" s="10">
        <f t="shared" si="24"/>
        <v>0.4942963218147801</v>
      </c>
      <c r="G120" s="10">
        <f t="shared" si="25"/>
        <v>-0.3060126212233984</v>
      </c>
      <c r="J120" s="10">
        <v>0.76</v>
      </c>
      <c r="K120" s="10">
        <v>0.76</v>
      </c>
      <c r="L120" s="10">
        <f t="shared" si="26"/>
        <v>1.4271163556401458</v>
      </c>
      <c r="M120" s="10">
        <f t="shared" si="27"/>
        <v>0.15445938345268856</v>
      </c>
      <c r="P120" s="21">
        <v>0.23421307673309275</v>
      </c>
      <c r="Q120" s="21">
        <v>0.2780947990626133</v>
      </c>
      <c r="R120" s="21">
        <f t="shared" si="23"/>
        <v>17</v>
      </c>
      <c r="S120" s="21">
        <f t="shared" si="21"/>
        <v>0.7471910112359551</v>
      </c>
      <c r="T120" s="21">
        <f t="shared" si="22"/>
        <v>0.6656762252532644</v>
      </c>
    </row>
    <row r="121" spans="1:20" ht="12.75">
      <c r="A121" s="10" t="s">
        <v>106</v>
      </c>
      <c r="B121" s="10">
        <v>3.41</v>
      </c>
      <c r="D121" s="10">
        <v>0.79</v>
      </c>
      <c r="E121" s="10">
        <v>0.79</v>
      </c>
      <c r="F121" s="10">
        <f t="shared" si="24"/>
        <v>1.5606477482646686</v>
      </c>
      <c r="G121" s="10">
        <f t="shared" si="25"/>
        <v>0.19330489009113996</v>
      </c>
      <c r="J121" s="10">
        <v>0.82</v>
      </c>
      <c r="K121" s="10">
        <v>0.82</v>
      </c>
      <c r="L121" s="10">
        <f t="shared" si="26"/>
        <v>1.7147984280919264</v>
      </c>
      <c r="M121" s="10">
        <f t="shared" si="27"/>
        <v>0.23421307673309275</v>
      </c>
      <c r="P121" s="21">
        <v>0.24128973893957267</v>
      </c>
      <c r="Q121" s="21">
        <v>0.2780947990626133</v>
      </c>
      <c r="R121" s="21">
        <f t="shared" si="23"/>
        <v>18</v>
      </c>
      <c r="S121" s="21">
        <f t="shared" si="21"/>
        <v>0.7921348314606742</v>
      </c>
      <c r="T121" s="21">
        <f t="shared" si="22"/>
        <v>0.8138499651977327</v>
      </c>
    </row>
    <row r="122" spans="1:20" ht="12.75">
      <c r="A122" s="10" t="s">
        <v>143</v>
      </c>
      <c r="B122" s="10">
        <v>3.43</v>
      </c>
      <c r="D122" s="10">
        <v>0.26</v>
      </c>
      <c r="J122" s="10">
        <v>0.28</v>
      </c>
      <c r="P122" s="21">
        <v>0.24845313993303417</v>
      </c>
      <c r="Q122" s="21">
        <v>0.30967717694555646</v>
      </c>
      <c r="R122" s="21">
        <f t="shared" si="23"/>
        <v>19</v>
      </c>
      <c r="S122" s="21">
        <f t="shared" si="21"/>
        <v>0.8370786516853933</v>
      </c>
      <c r="T122" s="21">
        <f t="shared" si="22"/>
        <v>0.9825225788517855</v>
      </c>
    </row>
    <row r="123" spans="1:20" ht="12.75">
      <c r="A123" s="10" t="s">
        <v>143</v>
      </c>
      <c r="B123" s="10">
        <v>3.56</v>
      </c>
      <c r="D123" s="10">
        <v>0.42</v>
      </c>
      <c r="E123" s="10">
        <f>AVERAGE(D122:D123)</f>
        <v>0.33999999999999997</v>
      </c>
      <c r="F123" s="10">
        <f>-LN(1-E123)</f>
        <v>0.4155154439616658</v>
      </c>
      <c r="G123" s="10">
        <f>LOG(F123)</f>
        <v>-0.38141282963515094</v>
      </c>
      <c r="J123" s="10">
        <v>0.4</v>
      </c>
      <c r="K123" s="10">
        <f>AVERAGE(J122:J123)</f>
        <v>0.34</v>
      </c>
      <c r="L123" s="10">
        <f>-LN(1-K123)</f>
        <v>0.4155154439616659</v>
      </c>
      <c r="M123" s="10">
        <f>LOG(L123)</f>
        <v>-0.38141282963515083</v>
      </c>
      <c r="P123" s="21">
        <v>0.26306328943594726</v>
      </c>
      <c r="Q123" s="21">
        <v>0.343856427337392</v>
      </c>
      <c r="R123" s="21">
        <f t="shared" si="23"/>
        <v>20</v>
      </c>
      <c r="S123" s="21">
        <f t="shared" si="21"/>
        <v>0.8820224719101124</v>
      </c>
      <c r="T123" s="21">
        <f t="shared" si="22"/>
        <v>1.185157998406794</v>
      </c>
    </row>
    <row r="124" spans="1:20" ht="12.75">
      <c r="A124" s="10" t="s">
        <v>144</v>
      </c>
      <c r="B124" s="10">
        <v>3.16</v>
      </c>
      <c r="D124" s="10">
        <v>0.8</v>
      </c>
      <c r="J124" s="10">
        <v>0.83</v>
      </c>
      <c r="P124" s="21">
        <v>0.2780947990626133</v>
      </c>
      <c r="Q124" s="21">
        <v>0.36221568869946325</v>
      </c>
      <c r="R124" s="21">
        <f t="shared" si="23"/>
        <v>21</v>
      </c>
      <c r="S124" s="21">
        <f t="shared" si="21"/>
        <v>0.9269662921348315</v>
      </c>
      <c r="T124" s="21">
        <f t="shared" si="22"/>
        <v>1.4535635273205116</v>
      </c>
    </row>
    <row r="125" spans="1:20" ht="12.75">
      <c r="A125" s="10" t="s">
        <v>144</v>
      </c>
      <c r="B125" s="10">
        <v>3.68</v>
      </c>
      <c r="D125" s="10">
        <v>0.85</v>
      </c>
      <c r="E125" s="10">
        <f>AVERAGE(D124:D125)</f>
        <v>0.825</v>
      </c>
      <c r="F125" s="10">
        <f>-LN(1-E125)</f>
        <v>1.7429693050586228</v>
      </c>
      <c r="G125" s="10">
        <f>LOG(F125)</f>
        <v>0.24128973893957267</v>
      </c>
      <c r="J125" s="10">
        <v>0.87</v>
      </c>
      <c r="K125" s="10">
        <f>AVERAGE(J124:J125)</f>
        <v>0.85</v>
      </c>
      <c r="L125" s="10">
        <f>-LN(1-K125)</f>
        <v>1.8971199848858813</v>
      </c>
      <c r="M125" s="10">
        <f>LOG(L125)</f>
        <v>0.2780947990626133</v>
      </c>
      <c r="P125" s="21">
        <v>0.2780947990626133</v>
      </c>
      <c r="Q125" s="21">
        <v>0.47650299817509745</v>
      </c>
      <c r="R125" s="21">
        <f t="shared" si="23"/>
        <v>22</v>
      </c>
      <c r="S125" s="21">
        <f t="shared" si="21"/>
        <v>0.9719101123595506</v>
      </c>
      <c r="T125" s="21">
        <f t="shared" si="22"/>
        <v>1.9096387404715642</v>
      </c>
    </row>
    <row r="126" spans="1:17" ht="12.75">
      <c r="A126" s="10" t="s">
        <v>150</v>
      </c>
      <c r="B126" s="10">
        <v>3.62</v>
      </c>
      <c r="D126" s="10">
        <v>0.82</v>
      </c>
      <c r="E126" s="10">
        <v>0.82</v>
      </c>
      <c r="F126" s="10">
        <f>-LN(1-E126)</f>
        <v>1.7147984280919264</v>
      </c>
      <c r="G126" s="10">
        <f>LOG(F126)</f>
        <v>0.23421307673309275</v>
      </c>
      <c r="J126" s="10">
        <v>0.9</v>
      </c>
      <c r="K126" s="10">
        <v>0.9</v>
      </c>
      <c r="L126" s="10">
        <f>-LN(1-K126)</f>
        <v>2.302585092994046</v>
      </c>
      <c r="M126" s="10">
        <f>LOG(L126)</f>
        <v>0.36221568869946325</v>
      </c>
      <c r="P126" s="21"/>
      <c r="Q126" s="21"/>
    </row>
    <row r="127" spans="1:17" ht="12.75">
      <c r="A127" s="10" t="s">
        <v>145</v>
      </c>
      <c r="B127" s="10">
        <v>3.9</v>
      </c>
      <c r="D127" s="10">
        <v>0.84</v>
      </c>
      <c r="E127" s="10">
        <v>0.84</v>
      </c>
      <c r="F127" s="10">
        <f>-LN(1-E127)</f>
        <v>1.83258146374831</v>
      </c>
      <c r="G127" s="10">
        <f>LOG(F127)</f>
        <v>0.26306328943594726</v>
      </c>
      <c r="H127" s="10">
        <f>COUNT(G104:G129)</f>
        <v>22</v>
      </c>
      <c r="J127" s="10">
        <v>0.95</v>
      </c>
      <c r="K127" s="10">
        <v>0.95</v>
      </c>
      <c r="L127" s="10">
        <f>-LN(1-K127)</f>
        <v>2.99573227355399</v>
      </c>
      <c r="M127" s="10">
        <f>LOG(L127)</f>
        <v>0.47650299817509745</v>
      </c>
      <c r="N127" s="10">
        <f>COUNT(M104:M129)</f>
        <v>22</v>
      </c>
      <c r="P127" s="21"/>
      <c r="Q127" s="21"/>
    </row>
    <row r="128" spans="1:17" ht="12.75">
      <c r="A128" s="10" t="s">
        <v>146</v>
      </c>
      <c r="B128" s="10">
        <v>3.94</v>
      </c>
      <c r="D128" s="10">
        <v>0.78</v>
      </c>
      <c r="E128" s="10">
        <v>0.78</v>
      </c>
      <c r="F128" s="10">
        <f>-LN(1-E128)</f>
        <v>1.5141277326297757</v>
      </c>
      <c r="G128" s="10">
        <f>LOG(F128)</f>
        <v>0.1801625140255562</v>
      </c>
      <c r="H128" s="10" t="s">
        <v>140</v>
      </c>
      <c r="J128" s="10">
        <v>0.78</v>
      </c>
      <c r="K128" s="10">
        <v>0.78</v>
      </c>
      <c r="L128" s="10">
        <f>-LN(1-K128)</f>
        <v>1.5141277326297757</v>
      </c>
      <c r="M128" s="10">
        <f>LOG(L128)</f>
        <v>0.1801625140255562</v>
      </c>
      <c r="N128" s="10" t="s">
        <v>140</v>
      </c>
      <c r="P128" s="21"/>
      <c r="Q128" s="21"/>
    </row>
    <row r="129" spans="1:17" ht="12.75">
      <c r="A129" s="10" t="s">
        <v>147</v>
      </c>
      <c r="B129" s="10">
        <v>3.77</v>
      </c>
      <c r="D129" s="10">
        <v>0.6</v>
      </c>
      <c r="E129" s="10">
        <v>0.6</v>
      </c>
      <c r="F129" s="10">
        <f>-LN(1-E129)</f>
        <v>0.916290731874155</v>
      </c>
      <c r="G129" s="10">
        <f>LOG(F129)</f>
        <v>-0.03796670622803395</v>
      </c>
      <c r="H129" s="26">
        <f>STDEV(G104:G129)</f>
        <v>0.23671027091775357</v>
      </c>
      <c r="J129" s="10">
        <v>0.8</v>
      </c>
      <c r="K129" s="10">
        <v>0.8</v>
      </c>
      <c r="L129" s="10">
        <f>-LN(1-K129)</f>
        <v>1.6094379124341005</v>
      </c>
      <c r="M129" s="10">
        <f>LOG(L129)</f>
        <v>0.20667422749111897</v>
      </c>
      <c r="N129" s="26">
        <f>STDEV(M104:M129)</f>
        <v>0.20420202579903396</v>
      </c>
      <c r="P129" s="21"/>
      <c r="Q129" s="21"/>
    </row>
    <row r="130" spans="4:11" ht="12.75">
      <c r="D130" s="14"/>
      <c r="E130" s="14">
        <f>AVERAGE(E104:E129)</f>
        <v>0.6520454545454545</v>
      </c>
      <c r="J130" s="14"/>
      <c r="K130" s="14">
        <f>AVERAGE(K104:K129)</f>
        <v>0.7304545454545454</v>
      </c>
    </row>
    <row r="131" ht="12.75">
      <c r="A131" s="10" t="s">
        <v>180</v>
      </c>
    </row>
    <row r="133" spans="1:20" ht="12.75">
      <c r="A133" s="10" t="s">
        <v>148</v>
      </c>
      <c r="B133" s="10">
        <v>4.05</v>
      </c>
      <c r="D133" s="10">
        <v>0.5</v>
      </c>
      <c r="E133" s="10">
        <v>0.5</v>
      </c>
      <c r="F133" s="10">
        <f aca="true" t="shared" si="28" ref="F133:F146">-LN(1-E133)</f>
        <v>0.6931471805599453</v>
      </c>
      <c r="G133" s="10">
        <f aca="true" t="shared" si="29" ref="G133:G146">LOG(F133)</f>
        <v>-0.1591745389548616</v>
      </c>
      <c r="J133" s="10">
        <v>0.5</v>
      </c>
      <c r="K133" s="10">
        <v>0.5</v>
      </c>
      <c r="L133" s="10">
        <f aca="true" t="shared" si="30" ref="L133:L146">-LN(1-K133)</f>
        <v>0.6931471805599453</v>
      </c>
      <c r="M133" s="10">
        <f>LOG(L133)</f>
        <v>-0.1591745389548616</v>
      </c>
      <c r="P133" s="10">
        <v>-0.1591745389548616</v>
      </c>
      <c r="Q133" s="10">
        <v>-0.1591745389548616</v>
      </c>
      <c r="R133" s="10">
        <v>1</v>
      </c>
      <c r="S133" s="10">
        <f>(R133-(3/8))/20.25</f>
        <v>0.030864197530864196</v>
      </c>
      <c r="T133" s="10">
        <f>NORMSINV(S133)</f>
        <v>-1.8682385416468605</v>
      </c>
    </row>
    <row r="134" spans="1:20" ht="12.75">
      <c r="A134" s="10" t="s">
        <v>163</v>
      </c>
      <c r="B134" s="10">
        <v>4.95</v>
      </c>
      <c r="D134" s="10">
        <v>0.8</v>
      </c>
      <c r="E134" s="10">
        <v>0.8</v>
      </c>
      <c r="F134" s="10">
        <f t="shared" si="28"/>
        <v>1.6094379124341005</v>
      </c>
      <c r="G134" s="10">
        <f t="shared" si="29"/>
        <v>0.20667422749111897</v>
      </c>
      <c r="J134" s="10">
        <v>0.88</v>
      </c>
      <c r="K134" s="10">
        <v>0.88</v>
      </c>
      <c r="L134" s="10">
        <f t="shared" si="30"/>
        <v>2.120263536200091</v>
      </c>
      <c r="M134" s="10">
        <f>LOG(L134)</f>
        <v>0.326389844515692</v>
      </c>
      <c r="P134" s="10">
        <v>-0.03796670622803395</v>
      </c>
      <c r="Q134" s="10">
        <v>0.040844452568920595</v>
      </c>
      <c r="R134" s="10">
        <v>2</v>
      </c>
      <c r="S134" s="10">
        <f aca="true" t="shared" si="31" ref="S134:S152">(R134-(3/8))/20.25</f>
        <v>0.08024691358024691</v>
      </c>
      <c r="T134" s="10">
        <f aca="true" t="shared" si="32" ref="T134:T152">NORMSINV(S134)</f>
        <v>-1.4034139894647524</v>
      </c>
    </row>
    <row r="135" spans="1:20" ht="12.75">
      <c r="A135" s="10" t="s">
        <v>168</v>
      </c>
      <c r="B135" s="10">
        <v>4.8</v>
      </c>
      <c r="D135" s="10">
        <v>0.92</v>
      </c>
      <c r="E135" s="10">
        <v>0.92</v>
      </c>
      <c r="F135" s="10">
        <f t="shared" si="28"/>
        <v>2.525728644308256</v>
      </c>
      <c r="G135" s="10">
        <f t="shared" si="29"/>
        <v>0.4023866896041339</v>
      </c>
      <c r="J135" s="10">
        <v>0.95</v>
      </c>
      <c r="K135" s="10">
        <v>0.95</v>
      </c>
      <c r="L135" s="10">
        <f t="shared" si="30"/>
        <v>2.99573227355399</v>
      </c>
      <c r="M135" s="10">
        <f>LOG(L135)</f>
        <v>0.47650299817509745</v>
      </c>
      <c r="P135" s="10">
        <v>0.03294482715954138</v>
      </c>
      <c r="Q135" s="10">
        <v>0.15445938345268856</v>
      </c>
      <c r="R135" s="10">
        <v>3</v>
      </c>
      <c r="S135" s="10">
        <f t="shared" si="31"/>
        <v>0.12962962962962962</v>
      </c>
      <c r="T135" s="10">
        <f t="shared" si="32"/>
        <v>-1.1281440492894035</v>
      </c>
    </row>
    <row r="136" spans="1:20" ht="12.75">
      <c r="A136" s="10" t="s">
        <v>164</v>
      </c>
      <c r="B136" s="10">
        <v>4.99</v>
      </c>
      <c r="D136" s="10">
        <v>0.83</v>
      </c>
      <c r="E136" s="10">
        <v>0.83</v>
      </c>
      <c r="F136" s="10">
        <f t="shared" si="28"/>
        <v>1.771956841931875</v>
      </c>
      <c r="G136" s="10">
        <f t="shared" si="29"/>
        <v>0.24845313993303417</v>
      </c>
      <c r="P136" s="10">
        <v>0.06862475301327431</v>
      </c>
      <c r="Q136" s="10">
        <v>0.15445938345268856</v>
      </c>
      <c r="R136" s="10">
        <v>4</v>
      </c>
      <c r="S136" s="10">
        <f t="shared" si="31"/>
        <v>0.17901234567901234</v>
      </c>
      <c r="T136" s="10">
        <f t="shared" si="32"/>
        <v>-0.9191353456117213</v>
      </c>
    </row>
    <row r="137" spans="1:20" ht="12.75">
      <c r="A137" s="10" t="s">
        <v>149</v>
      </c>
      <c r="B137" s="10">
        <v>4.65</v>
      </c>
      <c r="D137" s="10">
        <v>0.69</v>
      </c>
      <c r="E137" s="10">
        <v>0.69</v>
      </c>
      <c r="F137" s="10">
        <f t="shared" si="28"/>
        <v>1.1711829815029449</v>
      </c>
      <c r="G137" s="10">
        <f t="shared" si="29"/>
        <v>0.06862475301327431</v>
      </c>
      <c r="J137" s="10">
        <v>0.92</v>
      </c>
      <c r="K137" s="10">
        <v>0.92</v>
      </c>
      <c r="L137" s="10">
        <f t="shared" si="30"/>
        <v>2.525728644308256</v>
      </c>
      <c r="M137" s="10">
        <f aca="true" t="shared" si="33" ref="M137:M146">LOG(L137)</f>
        <v>0.4023866896041339</v>
      </c>
      <c r="P137" s="10">
        <v>0.06862475301327431</v>
      </c>
      <c r="Q137" s="10">
        <v>0.1801625140255562</v>
      </c>
      <c r="R137" s="10">
        <v>5</v>
      </c>
      <c r="S137" s="10">
        <f t="shared" si="31"/>
        <v>0.22839506172839505</v>
      </c>
      <c r="T137" s="10">
        <f t="shared" si="32"/>
        <v>-0.7441417437803466</v>
      </c>
    </row>
    <row r="138" spans="1:20" ht="12.75">
      <c r="A138" s="10" t="s">
        <v>154</v>
      </c>
      <c r="B138" s="10">
        <v>4.79</v>
      </c>
      <c r="D138" s="10">
        <v>0.8</v>
      </c>
      <c r="E138" s="10">
        <v>0.8</v>
      </c>
      <c r="F138" s="10">
        <f t="shared" si="28"/>
        <v>1.6094379124341005</v>
      </c>
      <c r="G138" s="10">
        <f t="shared" si="29"/>
        <v>0.20667422749111897</v>
      </c>
      <c r="J138" s="10">
        <v>0.8</v>
      </c>
      <c r="K138" s="10">
        <v>0.8</v>
      </c>
      <c r="L138" s="10">
        <f t="shared" si="30"/>
        <v>1.6094379124341005</v>
      </c>
      <c r="M138" s="10">
        <f t="shared" si="33"/>
        <v>0.20667422749111897</v>
      </c>
      <c r="P138" s="10">
        <v>0.10481669351537554</v>
      </c>
      <c r="Q138" s="10">
        <v>0.20667422749111897</v>
      </c>
      <c r="R138" s="10">
        <v>6</v>
      </c>
      <c r="S138" s="10">
        <f t="shared" si="31"/>
        <v>0.2777777777777778</v>
      </c>
      <c r="T138" s="10">
        <f t="shared" si="32"/>
        <v>-0.589454884902807</v>
      </c>
    </row>
    <row r="139" spans="1:20" ht="12.75">
      <c r="A139" s="10" t="s">
        <v>165</v>
      </c>
      <c r="B139" s="10">
        <v>4.85</v>
      </c>
      <c r="D139" s="10">
        <v>0.86</v>
      </c>
      <c r="E139" s="10">
        <v>0.86</v>
      </c>
      <c r="F139" s="10">
        <f t="shared" si="28"/>
        <v>1.9661128563728327</v>
      </c>
      <c r="G139" s="10">
        <f t="shared" si="29"/>
        <v>0.29360844304507566</v>
      </c>
      <c r="J139" s="10">
        <v>0.9</v>
      </c>
      <c r="K139" s="10">
        <v>0.9</v>
      </c>
      <c r="L139" s="10">
        <f t="shared" si="30"/>
        <v>2.302585092994046</v>
      </c>
      <c r="M139" s="10">
        <f t="shared" si="33"/>
        <v>0.36221568869946325</v>
      </c>
      <c r="P139" s="10">
        <v>0.20667422749111897</v>
      </c>
      <c r="Q139" s="10">
        <v>0.24845313993303417</v>
      </c>
      <c r="R139" s="10">
        <v>7</v>
      </c>
      <c r="S139" s="10">
        <f t="shared" si="31"/>
        <v>0.3271604938271605</v>
      </c>
      <c r="T139" s="10">
        <f t="shared" si="32"/>
        <v>-0.4477669790503569</v>
      </c>
    </row>
    <row r="140" spans="1:20" ht="12.75">
      <c r="A140" s="10" t="s">
        <v>159</v>
      </c>
      <c r="B140" s="10">
        <v>4.86</v>
      </c>
      <c r="D140" s="10">
        <v>0.96</v>
      </c>
      <c r="E140" s="10">
        <v>0.96</v>
      </c>
      <c r="F140" s="10">
        <f t="shared" si="28"/>
        <v>3.2188758248681997</v>
      </c>
      <c r="G140" s="10">
        <f t="shared" si="29"/>
        <v>0.5077042231551</v>
      </c>
      <c r="J140" s="10">
        <v>0.97</v>
      </c>
      <c r="K140" s="10">
        <v>0.97</v>
      </c>
      <c r="L140" s="10">
        <f t="shared" si="30"/>
        <v>3.506557897319981</v>
      </c>
      <c r="M140" s="10">
        <f t="shared" si="33"/>
        <v>0.5448810139973854</v>
      </c>
      <c r="P140" s="10">
        <v>0.20667422749111897</v>
      </c>
      <c r="Q140" s="10">
        <v>0.26306328943594737</v>
      </c>
      <c r="R140" s="10">
        <v>8</v>
      </c>
      <c r="S140" s="10">
        <f t="shared" si="31"/>
        <v>0.3765432098765432</v>
      </c>
      <c r="T140" s="10">
        <f t="shared" si="32"/>
        <v>-0.31457261684408877</v>
      </c>
    </row>
    <row r="141" spans="1:20" ht="12.75">
      <c r="A141" s="10" t="s">
        <v>166</v>
      </c>
      <c r="B141" s="10">
        <v>4.04</v>
      </c>
      <c r="D141" s="10">
        <v>0.72</v>
      </c>
      <c r="E141" s="10">
        <v>0.72</v>
      </c>
      <c r="F141" s="10">
        <f t="shared" si="28"/>
        <v>1.2729656758128873</v>
      </c>
      <c r="G141" s="10">
        <f t="shared" si="29"/>
        <v>0.10481669351537554</v>
      </c>
      <c r="J141" s="10">
        <v>0.76</v>
      </c>
      <c r="K141" s="10">
        <v>0.76</v>
      </c>
      <c r="L141" s="10">
        <f t="shared" si="30"/>
        <v>1.4271163556401458</v>
      </c>
      <c r="M141" s="10">
        <f t="shared" si="33"/>
        <v>0.15445938345268856</v>
      </c>
      <c r="P141" s="10">
        <v>0.20667422749111897</v>
      </c>
      <c r="Q141" s="10">
        <v>0.2780947990626133</v>
      </c>
      <c r="R141" s="10">
        <v>9</v>
      </c>
      <c r="S141" s="10">
        <f t="shared" si="31"/>
        <v>0.42592592592592593</v>
      </c>
      <c r="T141" s="10">
        <f t="shared" si="32"/>
        <v>-0.18675564206205308</v>
      </c>
    </row>
    <row r="142" spans="1:20" ht="12.75">
      <c r="A142" s="10" t="s">
        <v>160</v>
      </c>
      <c r="B142" s="10">
        <v>4.12</v>
      </c>
      <c r="D142" s="10">
        <v>0.69</v>
      </c>
      <c r="E142" s="10">
        <v>0.69</v>
      </c>
      <c r="F142" s="10">
        <f t="shared" si="28"/>
        <v>1.1711829815029449</v>
      </c>
      <c r="G142" s="10">
        <f t="shared" si="29"/>
        <v>0.06862475301327431</v>
      </c>
      <c r="J142" s="10">
        <v>0.78</v>
      </c>
      <c r="K142" s="10">
        <v>0.78</v>
      </c>
      <c r="L142" s="10">
        <f t="shared" si="30"/>
        <v>1.5141277326297757</v>
      </c>
      <c r="M142" s="10">
        <f t="shared" si="33"/>
        <v>0.1801625140255562</v>
      </c>
      <c r="P142" s="10">
        <v>0.2134528657422765</v>
      </c>
      <c r="Q142" s="10">
        <v>0.326389844515692</v>
      </c>
      <c r="R142" s="10">
        <v>10</v>
      </c>
      <c r="S142" s="10">
        <f t="shared" si="31"/>
        <v>0.47530864197530864</v>
      </c>
      <c r="T142" s="10">
        <f t="shared" si="32"/>
        <v>-0.06193204171722755</v>
      </c>
    </row>
    <row r="143" spans="1:20" ht="12.75">
      <c r="A143" s="10" t="s">
        <v>174</v>
      </c>
      <c r="B143" s="10">
        <v>4.8</v>
      </c>
      <c r="D143" s="10">
        <v>0.85</v>
      </c>
      <c r="E143" s="10">
        <v>0.85</v>
      </c>
      <c r="F143" s="10">
        <f t="shared" si="28"/>
        <v>1.8971199848858813</v>
      </c>
      <c r="G143" s="10">
        <f t="shared" si="29"/>
        <v>0.2780947990626133</v>
      </c>
      <c r="J143" s="10">
        <v>0.95</v>
      </c>
      <c r="K143" s="10">
        <v>0.95</v>
      </c>
      <c r="L143" s="10">
        <f t="shared" si="30"/>
        <v>2.99573227355399</v>
      </c>
      <c r="M143" s="10">
        <f t="shared" si="33"/>
        <v>0.47650299817509745</v>
      </c>
      <c r="P143" s="10">
        <v>0.22029934657507477</v>
      </c>
      <c r="Q143" s="10">
        <v>0.36221568869946325</v>
      </c>
      <c r="R143" s="10">
        <v>11</v>
      </c>
      <c r="S143" s="10">
        <f t="shared" si="31"/>
        <v>0.5246913580246914</v>
      </c>
      <c r="T143" s="10">
        <f t="shared" si="32"/>
        <v>0.06193204171722755</v>
      </c>
    </row>
    <row r="144" spans="1:20" ht="12.75">
      <c r="A144" s="10" t="s">
        <v>153</v>
      </c>
      <c r="B144" s="10">
        <v>4.9</v>
      </c>
      <c r="D144" s="10">
        <v>0.88</v>
      </c>
      <c r="E144" s="10">
        <v>0.88</v>
      </c>
      <c r="F144" s="10">
        <f t="shared" si="28"/>
        <v>2.120263536200091</v>
      </c>
      <c r="G144" s="10">
        <f t="shared" si="29"/>
        <v>0.326389844515692</v>
      </c>
      <c r="J144" s="10">
        <v>0.91</v>
      </c>
      <c r="K144" s="10">
        <v>0.91</v>
      </c>
      <c r="L144" s="10">
        <f t="shared" si="30"/>
        <v>2.4079456086518722</v>
      </c>
      <c r="M144" s="10">
        <f t="shared" si="33"/>
        <v>0.38164667273149216</v>
      </c>
      <c r="P144" s="10">
        <v>0.24845313993303417</v>
      </c>
      <c r="Q144" s="10">
        <v>0.36221568869946325</v>
      </c>
      <c r="R144" s="10">
        <v>12</v>
      </c>
      <c r="S144" s="10">
        <f t="shared" si="31"/>
        <v>0.5740740740740741</v>
      </c>
      <c r="T144" s="10">
        <f t="shared" si="32"/>
        <v>0.18675564206205308</v>
      </c>
    </row>
    <row r="145" spans="1:20" ht="12.75">
      <c r="A145" s="10" t="s">
        <v>173</v>
      </c>
      <c r="B145" s="10">
        <v>4.9</v>
      </c>
      <c r="D145" s="10">
        <v>0.8</v>
      </c>
      <c r="E145" s="10">
        <v>0.8</v>
      </c>
      <c r="F145" s="10">
        <f t="shared" si="28"/>
        <v>1.6094379124341005</v>
      </c>
      <c r="G145" s="10">
        <f t="shared" si="29"/>
        <v>0.20667422749111897</v>
      </c>
      <c r="J145" s="10">
        <v>0.85</v>
      </c>
      <c r="K145" s="10">
        <v>0.85</v>
      </c>
      <c r="L145" s="10">
        <f t="shared" si="30"/>
        <v>1.8971199848858813</v>
      </c>
      <c r="M145" s="10">
        <f t="shared" si="33"/>
        <v>0.2780947990626133</v>
      </c>
      <c r="P145" s="10">
        <v>0.24845313993303417</v>
      </c>
      <c r="Q145" s="10">
        <v>0.36221568869946325</v>
      </c>
      <c r="R145" s="10">
        <v>13</v>
      </c>
      <c r="S145" s="10">
        <f t="shared" si="31"/>
        <v>0.6234567901234568</v>
      </c>
      <c r="T145" s="10">
        <f t="shared" si="32"/>
        <v>0.31457261684408877</v>
      </c>
    </row>
    <row r="146" spans="1:20" ht="12.75">
      <c r="A146" s="10" t="s">
        <v>151</v>
      </c>
      <c r="B146" s="10">
        <v>4.93</v>
      </c>
      <c r="D146" s="10">
        <v>0.81</v>
      </c>
      <c r="E146" s="10">
        <v>0.81</v>
      </c>
      <c r="F146" s="10">
        <f t="shared" si="28"/>
        <v>1.660731206821651</v>
      </c>
      <c r="G146" s="10">
        <f t="shared" si="29"/>
        <v>0.22029934657507477</v>
      </c>
      <c r="J146" s="10">
        <v>0.9</v>
      </c>
      <c r="K146" s="10">
        <v>0.9</v>
      </c>
      <c r="L146" s="10">
        <f t="shared" si="30"/>
        <v>2.302585092994046</v>
      </c>
      <c r="M146" s="10">
        <f t="shared" si="33"/>
        <v>0.36221568869946325</v>
      </c>
      <c r="P146" s="10">
        <v>0.2780947990626133</v>
      </c>
      <c r="Q146" s="10">
        <v>0.38164667273149216</v>
      </c>
      <c r="R146" s="10">
        <v>14</v>
      </c>
      <c r="S146" s="10">
        <f t="shared" si="31"/>
        <v>0.6728395061728395</v>
      </c>
      <c r="T146" s="10">
        <f t="shared" si="32"/>
        <v>0.4477669790503569</v>
      </c>
    </row>
    <row r="147" spans="1:20" ht="12.75">
      <c r="A147" s="10" t="s">
        <v>155</v>
      </c>
      <c r="B147" s="10">
        <v>4.64</v>
      </c>
      <c r="D147" s="10">
        <v>0.62</v>
      </c>
      <c r="J147" s="10">
        <v>0.72</v>
      </c>
      <c r="P147" s="10">
        <v>0.2780947990626133</v>
      </c>
      <c r="Q147" s="10">
        <v>0.4023866896041339</v>
      </c>
      <c r="R147" s="10">
        <v>15</v>
      </c>
      <c r="S147" s="10">
        <f t="shared" si="31"/>
        <v>0.7222222222222222</v>
      </c>
      <c r="T147" s="10">
        <f t="shared" si="32"/>
        <v>0.589454884902807</v>
      </c>
    </row>
    <row r="148" spans="1:20" ht="12.75">
      <c r="A148" s="10" t="s">
        <v>155</v>
      </c>
      <c r="B148" s="10">
        <v>4.82</v>
      </c>
      <c r="D148" s="10">
        <v>0.7</v>
      </c>
      <c r="E148" s="10">
        <f>AVERAGE(D147:D148)</f>
        <v>0.6599999999999999</v>
      </c>
      <c r="F148" s="10">
        <f>-LN(1-E148)</f>
        <v>1.0788096613719298</v>
      </c>
      <c r="G148" s="10">
        <f>LOG(F148)</f>
        <v>0.03294482715954138</v>
      </c>
      <c r="J148" s="10">
        <v>0.8</v>
      </c>
      <c r="K148" s="10">
        <f>AVERAGE(J147:J148)</f>
        <v>0.76</v>
      </c>
      <c r="L148" s="10">
        <f>-LN(1-K148)</f>
        <v>1.4271163556401458</v>
      </c>
      <c r="M148" s="10">
        <f>LOG(L148)</f>
        <v>0.15445938345268856</v>
      </c>
      <c r="P148" s="10">
        <v>0.29360844304507566</v>
      </c>
      <c r="Q148" s="10">
        <v>0.47650299817509745</v>
      </c>
      <c r="R148" s="10">
        <v>16</v>
      </c>
      <c r="S148" s="10">
        <f t="shared" si="31"/>
        <v>0.7716049382716049</v>
      </c>
      <c r="T148" s="10">
        <f t="shared" si="32"/>
        <v>0.7441417437803466</v>
      </c>
    </row>
    <row r="149" spans="1:20" ht="12.75">
      <c r="A149" s="10" t="s">
        <v>106</v>
      </c>
      <c r="B149" s="10">
        <v>4.05</v>
      </c>
      <c r="D149" s="10">
        <v>0.77</v>
      </c>
      <c r="J149" s="10">
        <v>0.8</v>
      </c>
      <c r="P149" s="10">
        <v>0.326389844515692</v>
      </c>
      <c r="Q149" s="10">
        <v>0.47650299817509745</v>
      </c>
      <c r="R149" s="10">
        <v>17</v>
      </c>
      <c r="S149" s="10">
        <f t="shared" si="31"/>
        <v>0.8209876543209876</v>
      </c>
      <c r="T149" s="10">
        <f t="shared" si="32"/>
        <v>0.9191353456117213</v>
      </c>
    </row>
    <row r="150" spans="1:20" ht="12.75">
      <c r="A150" s="10" t="s">
        <v>106</v>
      </c>
      <c r="B150" s="10">
        <v>4.7</v>
      </c>
      <c r="D150" s="10">
        <v>0.84</v>
      </c>
      <c r="E150" s="10">
        <f>AVERAGE(D149:D150)</f>
        <v>0.8049999999999999</v>
      </c>
      <c r="F150" s="10">
        <f>-LN(1-E150)</f>
        <v>1.63475572041839</v>
      </c>
      <c r="G150" s="10">
        <f>LOG(F150)</f>
        <v>0.2134528657422765</v>
      </c>
      <c r="J150" s="10">
        <v>0.88</v>
      </c>
      <c r="K150" s="10">
        <f>AVERAGE(J149:J150)</f>
        <v>0.8400000000000001</v>
      </c>
      <c r="L150" s="10">
        <f>-LN(1-K150)</f>
        <v>1.8325814637483107</v>
      </c>
      <c r="M150" s="10">
        <f>LOG(L150)</f>
        <v>0.26306328943594737</v>
      </c>
      <c r="P150" s="10">
        <v>0.36221568869946325</v>
      </c>
      <c r="Q150" s="10">
        <v>0.5448810139973854</v>
      </c>
      <c r="R150" s="10">
        <v>18</v>
      </c>
      <c r="S150" s="10">
        <f t="shared" si="31"/>
        <v>0.8703703703703703</v>
      </c>
      <c r="T150" s="10">
        <f t="shared" si="32"/>
        <v>1.1281440492894035</v>
      </c>
    </row>
    <row r="151" spans="1:20" ht="12.75">
      <c r="A151" s="10" t="s">
        <v>143</v>
      </c>
      <c r="B151" s="10">
        <v>4.45</v>
      </c>
      <c r="D151" s="22">
        <v>0.5</v>
      </c>
      <c r="J151" s="10">
        <v>0.53</v>
      </c>
      <c r="P151" s="10">
        <v>0.4023866896041339</v>
      </c>
      <c r="Q151" s="10">
        <v>0.5924014000780177</v>
      </c>
      <c r="R151" s="10">
        <v>19</v>
      </c>
      <c r="S151" s="10">
        <f t="shared" si="31"/>
        <v>0.9197530864197531</v>
      </c>
      <c r="T151" s="10">
        <f t="shared" si="32"/>
        <v>1.4034139894647524</v>
      </c>
    </row>
    <row r="152" spans="1:20" ht="12.75">
      <c r="A152" s="10" t="s">
        <v>143</v>
      </c>
      <c r="B152" s="10">
        <v>4.65</v>
      </c>
      <c r="D152" s="10">
        <v>0.45</v>
      </c>
      <c r="J152" s="10">
        <v>0.55</v>
      </c>
      <c r="P152" s="10">
        <v>0.5077042231551</v>
      </c>
      <c r="R152" s="10">
        <v>20</v>
      </c>
      <c r="S152" s="10">
        <f t="shared" si="31"/>
        <v>0.9691358024691358</v>
      </c>
      <c r="T152" s="10">
        <f t="shared" si="32"/>
        <v>1.8682385416468605</v>
      </c>
    </row>
    <row r="153" spans="1:13" ht="12.75">
      <c r="A153" s="10" t="s">
        <v>143</v>
      </c>
      <c r="B153" s="10">
        <v>4.77</v>
      </c>
      <c r="D153" s="10">
        <v>0.85</v>
      </c>
      <c r="E153" s="10">
        <f>AVERAGE(D151:D153)</f>
        <v>0.6</v>
      </c>
      <c r="F153" s="10">
        <f>-LN(1-E153)</f>
        <v>0.916290731874155</v>
      </c>
      <c r="G153" s="10">
        <f>LOG(F153)</f>
        <v>-0.03796670622803395</v>
      </c>
      <c r="J153" s="10">
        <v>0.92</v>
      </c>
      <c r="K153" s="10">
        <f>AVERAGE(J151:J153)</f>
        <v>0.6666666666666666</v>
      </c>
      <c r="L153" s="10">
        <f>-LN(1-K153)</f>
        <v>1.0986122886681096</v>
      </c>
      <c r="M153" s="10">
        <f>LOG(L153)</f>
        <v>0.040844452568920595</v>
      </c>
    </row>
    <row r="154" spans="1:14" ht="12.75">
      <c r="A154" s="10" t="s">
        <v>144</v>
      </c>
      <c r="B154" s="10">
        <v>4.96</v>
      </c>
      <c r="D154" s="10">
        <v>0.85</v>
      </c>
      <c r="E154" s="10">
        <v>0.85</v>
      </c>
      <c r="F154" s="10">
        <f>-LN(1-E154)</f>
        <v>1.8971199848858813</v>
      </c>
      <c r="G154" s="10">
        <f>LOG(F154)</f>
        <v>0.2780947990626133</v>
      </c>
      <c r="H154" s="10">
        <f>COUNT(G133:G156)</f>
        <v>20</v>
      </c>
      <c r="J154" s="10">
        <v>0.9</v>
      </c>
      <c r="K154" s="10">
        <v>0.9</v>
      </c>
      <c r="L154" s="10">
        <f>-LN(1-K154)</f>
        <v>2.302585092994046</v>
      </c>
      <c r="M154" s="10">
        <f>LOG(L154)</f>
        <v>0.36221568869946325</v>
      </c>
      <c r="N154" s="10">
        <f>COUNT(M133:M156)</f>
        <v>19</v>
      </c>
    </row>
    <row r="155" spans="1:14" ht="12.75">
      <c r="A155" s="10" t="s">
        <v>150</v>
      </c>
      <c r="B155" s="10">
        <v>4.98</v>
      </c>
      <c r="D155" s="10">
        <v>0.9</v>
      </c>
      <c r="E155" s="10">
        <v>0.9</v>
      </c>
      <c r="F155" s="10">
        <f>-LN(1-E155)</f>
        <v>2.302585092994046</v>
      </c>
      <c r="G155" s="10">
        <f>LOG(F155)</f>
        <v>0.36221568869946325</v>
      </c>
      <c r="H155" s="10" t="s">
        <v>140</v>
      </c>
      <c r="J155" s="10">
        <v>0.98</v>
      </c>
      <c r="K155" s="10">
        <v>0.98</v>
      </c>
      <c r="L155" s="10">
        <f>-LN(1-K155)</f>
        <v>3.912023005428145</v>
      </c>
      <c r="M155" s="10">
        <f>LOG(L155)</f>
        <v>0.5924014000780177</v>
      </c>
      <c r="N155" s="10" t="s">
        <v>140</v>
      </c>
    </row>
    <row r="156" spans="1:14" ht="12.75">
      <c r="A156" s="10" t="s">
        <v>156</v>
      </c>
      <c r="B156" s="10">
        <v>4.05</v>
      </c>
      <c r="D156" s="10">
        <v>0.83</v>
      </c>
      <c r="E156" s="10">
        <v>0.83</v>
      </c>
      <c r="F156" s="10">
        <f>-LN(1-E156)</f>
        <v>1.771956841931875</v>
      </c>
      <c r="G156" s="10">
        <f>LOG(F156)</f>
        <v>0.24845313993303417</v>
      </c>
      <c r="H156" s="26">
        <f>STDEV(G133:G156)</f>
        <v>0.15578945277215778</v>
      </c>
      <c r="J156" s="10">
        <v>0.83</v>
      </c>
      <c r="K156" s="10">
        <v>0.83</v>
      </c>
      <c r="L156" s="10">
        <f>-LN(1-K156)</f>
        <v>1.771956841931875</v>
      </c>
      <c r="M156" s="10">
        <f>LOG(L156)</f>
        <v>0.24845313993303417</v>
      </c>
      <c r="N156" s="26">
        <f>STDEV(M133:M156)</f>
        <v>0.18028671830071855</v>
      </c>
    </row>
    <row r="157" spans="5:11" ht="12.75">
      <c r="E157" s="14">
        <f>AVERAGE(E133:E156)</f>
        <v>0.7877500000000001</v>
      </c>
      <c r="K157" s="14">
        <f>AVERAGE(K133:K156)</f>
        <v>0.844561403508772</v>
      </c>
    </row>
    <row r="158" ht="12.75">
      <c r="A158" s="10" t="s">
        <v>183</v>
      </c>
    </row>
    <row r="160" spans="1:20" ht="12.75">
      <c r="A160" s="10" t="s">
        <v>167</v>
      </c>
      <c r="B160" s="10">
        <v>5.2</v>
      </c>
      <c r="D160" s="10">
        <v>0.9</v>
      </c>
      <c r="E160" s="10">
        <v>0.9</v>
      </c>
      <c r="F160" s="10">
        <f>-LN(1-E160)</f>
        <v>2.302585092994046</v>
      </c>
      <c r="G160" s="10">
        <f>LOG(F160)</f>
        <v>0.36221568869946325</v>
      </c>
      <c r="J160" s="10">
        <v>0.9</v>
      </c>
      <c r="K160" s="10">
        <v>0.9</v>
      </c>
      <c r="L160" s="10">
        <f>-LN(1-K160)</f>
        <v>2.302585092994046</v>
      </c>
      <c r="M160" s="10">
        <f>LOG(L160)</f>
        <v>0.36221568869946325</v>
      </c>
      <c r="P160" s="10">
        <v>-0.197309535616827</v>
      </c>
      <c r="Q160" s="10">
        <v>-0.03796670622803395</v>
      </c>
      <c r="R160" s="10">
        <v>1</v>
      </c>
      <c r="S160" s="10">
        <f>(R160-(3/8))/22.25</f>
        <v>0.028089887640449437</v>
      </c>
      <c r="T160" s="10">
        <f>NORMSINV(S160)</f>
        <v>-1.9096387404715642</v>
      </c>
    </row>
    <row r="161" spans="1:20" ht="12.75">
      <c r="A161" s="15" t="s">
        <v>148</v>
      </c>
      <c r="B161" s="15">
        <v>5.19</v>
      </c>
      <c r="C161" s="15"/>
      <c r="D161" s="15">
        <v>0.8</v>
      </c>
      <c r="E161" s="15"/>
      <c r="J161" s="15">
        <v>0.8</v>
      </c>
      <c r="P161" s="10">
        <v>-0.09772089366600901</v>
      </c>
      <c r="Q161" s="10">
        <v>0.0211157210768562</v>
      </c>
      <c r="R161" s="10">
        <v>2</v>
      </c>
      <c r="S161" s="10">
        <f aca="true" t="shared" si="34" ref="S161:S181">(R161-(3/8))/22.25</f>
        <v>0.07303370786516854</v>
      </c>
      <c r="T161" s="10">
        <f aca="true" t="shared" si="35" ref="T161:T181">NORMSINV(S161)</f>
        <v>-1.4535635273205116</v>
      </c>
    </row>
    <row r="162" spans="1:20" ht="12.75">
      <c r="A162" s="15" t="s">
        <v>148</v>
      </c>
      <c r="B162" s="15">
        <v>5.33</v>
      </c>
      <c r="C162" s="15"/>
      <c r="D162" s="15">
        <v>0.84</v>
      </c>
      <c r="E162" s="15">
        <f>AVERAGE(D161:D162)</f>
        <v>0.8200000000000001</v>
      </c>
      <c r="F162" s="10">
        <f aca="true" t="shared" si="36" ref="F162:F178">-LN(1-E162)</f>
        <v>1.714798428091927</v>
      </c>
      <c r="G162" s="10">
        <f aca="true" t="shared" si="37" ref="G162:G178">LOG(F162)</f>
        <v>0.23421307673309294</v>
      </c>
      <c r="J162" s="15">
        <v>1</v>
      </c>
      <c r="K162" s="15">
        <f>AVERAGE(J161:J162)</f>
        <v>0.9</v>
      </c>
      <c r="L162" s="10">
        <f aca="true" t="shared" si="38" ref="L162:L178">-LN(1-K162)</f>
        <v>2.302585092994046</v>
      </c>
      <c r="M162" s="10">
        <f aca="true" t="shared" si="39" ref="M162:M173">LOG(L162)</f>
        <v>0.36221568869946325</v>
      </c>
      <c r="P162" s="10">
        <v>-0.03796670622803395</v>
      </c>
      <c r="Q162" s="10">
        <v>0.08061667706751091</v>
      </c>
      <c r="R162" s="10">
        <v>3</v>
      </c>
      <c r="S162" s="10">
        <f t="shared" si="34"/>
        <v>0.11797752808988764</v>
      </c>
      <c r="T162" s="10">
        <f t="shared" si="35"/>
        <v>-1.185157998406794</v>
      </c>
    </row>
    <row r="163" spans="1:20" ht="12.75">
      <c r="A163" s="10" t="s">
        <v>162</v>
      </c>
      <c r="B163" s="10">
        <v>5.02</v>
      </c>
      <c r="D163" s="10">
        <v>0.89</v>
      </c>
      <c r="E163" s="10">
        <v>0.89</v>
      </c>
      <c r="F163" s="10">
        <f t="shared" si="36"/>
        <v>2.207274913189721</v>
      </c>
      <c r="G163" s="10">
        <f t="shared" si="37"/>
        <v>0.343856427337392</v>
      </c>
      <c r="J163" s="10">
        <v>0.89</v>
      </c>
      <c r="K163" s="10">
        <v>0.89</v>
      </c>
      <c r="L163" s="10">
        <f t="shared" si="38"/>
        <v>2.207274913189721</v>
      </c>
      <c r="M163" s="10">
        <f t="shared" si="39"/>
        <v>0.343856427337392</v>
      </c>
      <c r="P163" s="10">
        <v>-0.03796670622803395</v>
      </c>
      <c r="Q163" s="10">
        <v>0.23421307673309275</v>
      </c>
      <c r="R163" s="10">
        <v>4</v>
      </c>
      <c r="S163" s="10">
        <f t="shared" si="34"/>
        <v>0.16292134831460675</v>
      </c>
      <c r="T163" s="10">
        <f t="shared" si="35"/>
        <v>-0.9825225788517855</v>
      </c>
    </row>
    <row r="164" spans="1:20" ht="12.75">
      <c r="A164" s="10" t="s">
        <v>142</v>
      </c>
      <c r="B164" s="10">
        <v>5.33</v>
      </c>
      <c r="D164" s="22">
        <v>0.8</v>
      </c>
      <c r="E164" s="22">
        <v>0.8</v>
      </c>
      <c r="F164" s="10">
        <f t="shared" si="36"/>
        <v>1.6094379124341005</v>
      </c>
      <c r="G164" s="10">
        <f t="shared" si="37"/>
        <v>0.20667422749111897</v>
      </c>
      <c r="J164" s="10">
        <v>0.88</v>
      </c>
      <c r="K164" s="10">
        <v>0.88</v>
      </c>
      <c r="L164" s="10">
        <f t="shared" si="38"/>
        <v>2.120263536200091</v>
      </c>
      <c r="M164" s="10">
        <f t="shared" si="39"/>
        <v>0.326389844515692</v>
      </c>
      <c r="P164" s="10">
        <v>0.00930266965290335</v>
      </c>
      <c r="Q164" s="10">
        <v>0.23421307673309275</v>
      </c>
      <c r="R164" s="10">
        <v>5</v>
      </c>
      <c r="S164" s="10">
        <f t="shared" si="34"/>
        <v>0.20786516853932585</v>
      </c>
      <c r="T164" s="10">
        <f t="shared" si="35"/>
        <v>-0.8138499651977327</v>
      </c>
    </row>
    <row r="165" spans="1:20" ht="12.75">
      <c r="A165" s="10" t="s">
        <v>171</v>
      </c>
      <c r="B165" s="10">
        <v>5.3</v>
      </c>
      <c r="D165" s="10">
        <v>0.95</v>
      </c>
      <c r="E165" s="10">
        <v>0.95</v>
      </c>
      <c r="F165" s="10">
        <f t="shared" si="36"/>
        <v>2.99573227355399</v>
      </c>
      <c r="G165" s="10">
        <f t="shared" si="37"/>
        <v>0.47650299817509745</v>
      </c>
      <c r="J165" s="10">
        <v>0.95</v>
      </c>
      <c r="K165" s="10">
        <v>0.95</v>
      </c>
      <c r="L165" s="10">
        <f t="shared" si="38"/>
        <v>2.99573227355399</v>
      </c>
      <c r="M165" s="10">
        <f t="shared" si="39"/>
        <v>0.47650299817509745</v>
      </c>
      <c r="P165" s="10">
        <v>0.20667422749111897</v>
      </c>
      <c r="Q165" s="10">
        <v>0.24845313993303417</v>
      </c>
      <c r="R165" s="10">
        <v>6</v>
      </c>
      <c r="S165" s="10">
        <f t="shared" si="34"/>
        <v>0.25280898876404495</v>
      </c>
      <c r="T165" s="10">
        <f t="shared" si="35"/>
        <v>-0.6656762252532644</v>
      </c>
    </row>
    <row r="166" spans="1:20" ht="12.75">
      <c r="A166" s="10" t="s">
        <v>152</v>
      </c>
      <c r="B166" s="10">
        <v>5.12</v>
      </c>
      <c r="D166" s="10">
        <v>0.6</v>
      </c>
      <c r="E166" s="10">
        <v>0.6</v>
      </c>
      <c r="F166" s="10">
        <f t="shared" si="36"/>
        <v>0.916290731874155</v>
      </c>
      <c r="G166" s="10">
        <f t="shared" si="37"/>
        <v>-0.03796670622803395</v>
      </c>
      <c r="J166" s="10">
        <v>0.65</v>
      </c>
      <c r="K166" s="10">
        <v>0.65</v>
      </c>
      <c r="L166" s="10">
        <f t="shared" si="38"/>
        <v>1.0498221244986778</v>
      </c>
      <c r="M166" s="10">
        <f t="shared" si="39"/>
        <v>0.0211157210768562</v>
      </c>
      <c r="P166" s="10">
        <v>0.20667422749111897</v>
      </c>
      <c r="Q166" s="10">
        <v>0.2780947990626133</v>
      </c>
      <c r="R166" s="10">
        <v>7</v>
      </c>
      <c r="S166" s="10">
        <f t="shared" si="34"/>
        <v>0.29775280898876405</v>
      </c>
      <c r="T166" s="10">
        <f t="shared" si="35"/>
        <v>-0.5308743311616126</v>
      </c>
    </row>
    <row r="167" spans="1:20" ht="12.75">
      <c r="A167" s="10" t="s">
        <v>169</v>
      </c>
      <c r="B167" s="10">
        <v>5.2</v>
      </c>
      <c r="D167" s="10">
        <v>0.85</v>
      </c>
      <c r="E167" s="10">
        <v>0.85</v>
      </c>
      <c r="F167" s="10">
        <f t="shared" si="36"/>
        <v>1.8971199848858813</v>
      </c>
      <c r="G167" s="10">
        <f t="shared" si="37"/>
        <v>0.2780947990626133</v>
      </c>
      <c r="J167" s="10">
        <v>0.85</v>
      </c>
      <c r="K167" s="10">
        <v>0.85</v>
      </c>
      <c r="L167" s="10">
        <f t="shared" si="38"/>
        <v>1.8971199848858813</v>
      </c>
      <c r="M167" s="10">
        <f t="shared" si="39"/>
        <v>0.2780947990626133</v>
      </c>
      <c r="P167" s="10">
        <v>0.23421307673309275</v>
      </c>
      <c r="Q167" s="10">
        <v>0.30967717694555646</v>
      </c>
      <c r="R167" s="10">
        <v>8</v>
      </c>
      <c r="S167" s="10">
        <f t="shared" si="34"/>
        <v>0.34269662921348315</v>
      </c>
      <c r="T167" s="10">
        <f t="shared" si="35"/>
        <v>-0.405113951273961</v>
      </c>
    </row>
    <row r="168" spans="1:20" ht="12.75">
      <c r="A168" s="10" t="s">
        <v>157</v>
      </c>
      <c r="B168" s="10">
        <v>5.04</v>
      </c>
      <c r="D168" s="10">
        <v>0.85</v>
      </c>
      <c r="E168" s="10">
        <v>0.85</v>
      </c>
      <c r="F168" s="10">
        <f t="shared" si="36"/>
        <v>1.8971199848858813</v>
      </c>
      <c r="G168" s="10">
        <f t="shared" si="37"/>
        <v>0.2780947990626133</v>
      </c>
      <c r="J168" s="10">
        <v>0.92</v>
      </c>
      <c r="K168" s="10">
        <v>0.92</v>
      </c>
      <c r="L168" s="10">
        <f t="shared" si="38"/>
        <v>2.525728644308256</v>
      </c>
      <c r="M168" s="10">
        <f t="shared" si="39"/>
        <v>0.4023866896041339</v>
      </c>
      <c r="P168" s="10">
        <v>0.23421307673309275</v>
      </c>
      <c r="Q168" s="10">
        <v>0.30967717694555646</v>
      </c>
      <c r="R168" s="10">
        <v>9</v>
      </c>
      <c r="S168" s="10">
        <f t="shared" si="34"/>
        <v>0.38764044943820225</v>
      </c>
      <c r="T168" s="10">
        <f t="shared" si="35"/>
        <v>-0.28547447072924115</v>
      </c>
    </row>
    <row r="169" spans="1:20" ht="12.75">
      <c r="A169" s="10" t="s">
        <v>154</v>
      </c>
      <c r="B169" s="10">
        <v>5.89</v>
      </c>
      <c r="D169" s="10">
        <v>0.47</v>
      </c>
      <c r="E169" s="10">
        <v>0.47</v>
      </c>
      <c r="F169" s="10">
        <f t="shared" si="36"/>
        <v>0.6348782724359695</v>
      </c>
      <c r="G169" s="10">
        <f t="shared" si="37"/>
        <v>-0.197309535616827</v>
      </c>
      <c r="J169" s="10">
        <v>0.83</v>
      </c>
      <c r="K169" s="10">
        <v>0.83</v>
      </c>
      <c r="L169" s="10">
        <f t="shared" si="38"/>
        <v>1.771956841931875</v>
      </c>
      <c r="M169" s="10">
        <f t="shared" si="39"/>
        <v>0.24845313993303417</v>
      </c>
      <c r="P169" s="10">
        <v>0.23421307673309294</v>
      </c>
      <c r="Q169" s="10">
        <v>0.326389844515692</v>
      </c>
      <c r="R169" s="10">
        <v>10</v>
      </c>
      <c r="S169" s="10">
        <f t="shared" si="34"/>
        <v>0.43258426966292135</v>
      </c>
      <c r="T169" s="10">
        <f t="shared" si="35"/>
        <v>-0.16979811334749684</v>
      </c>
    </row>
    <row r="170" spans="1:20" ht="12.75">
      <c r="A170" s="10" t="s">
        <v>170</v>
      </c>
      <c r="B170" s="10">
        <v>5.3</v>
      </c>
      <c r="D170" s="10">
        <v>0.8</v>
      </c>
      <c r="E170" s="10">
        <v>0.8</v>
      </c>
      <c r="F170" s="10">
        <f t="shared" si="36"/>
        <v>1.6094379124341005</v>
      </c>
      <c r="G170" s="10">
        <f t="shared" si="37"/>
        <v>0.20667422749111897</v>
      </c>
      <c r="J170" s="10">
        <v>0.9</v>
      </c>
      <c r="K170" s="10">
        <v>0.9</v>
      </c>
      <c r="L170" s="10">
        <f t="shared" si="38"/>
        <v>2.302585092994046</v>
      </c>
      <c r="M170" s="10">
        <f t="shared" si="39"/>
        <v>0.36221568869946325</v>
      </c>
      <c r="P170" s="10">
        <v>0.26306328943594726</v>
      </c>
      <c r="Q170" s="10">
        <v>0.343856427337392</v>
      </c>
      <c r="R170" s="10">
        <v>11</v>
      </c>
      <c r="S170" s="10">
        <f t="shared" si="34"/>
        <v>0.47752808988764045</v>
      </c>
      <c r="T170" s="10">
        <f t="shared" si="35"/>
        <v>-0.05635911293211393</v>
      </c>
    </row>
    <row r="171" spans="1:20" ht="12.75">
      <c r="A171" s="10" t="s">
        <v>172</v>
      </c>
      <c r="B171" s="10">
        <v>5.1</v>
      </c>
      <c r="D171" s="10">
        <v>0.82</v>
      </c>
      <c r="E171" s="10">
        <v>0.82</v>
      </c>
      <c r="F171" s="10">
        <f t="shared" si="36"/>
        <v>1.7147984280919264</v>
      </c>
      <c r="G171" s="10">
        <f t="shared" si="37"/>
        <v>0.23421307673309275</v>
      </c>
      <c r="J171" s="10">
        <v>0.82</v>
      </c>
      <c r="K171" s="10">
        <v>0.82</v>
      </c>
      <c r="L171" s="10">
        <f t="shared" si="38"/>
        <v>1.7147984280919264</v>
      </c>
      <c r="M171" s="10">
        <f t="shared" si="39"/>
        <v>0.23421307673309275</v>
      </c>
      <c r="P171" s="10">
        <v>0.26306328943594726</v>
      </c>
      <c r="Q171" s="10">
        <v>0.343856427337392</v>
      </c>
      <c r="R171" s="10">
        <v>12</v>
      </c>
      <c r="S171" s="10">
        <f t="shared" si="34"/>
        <v>0.5224719101123596</v>
      </c>
      <c r="T171" s="10">
        <f t="shared" si="35"/>
        <v>0.05635911293211393</v>
      </c>
    </row>
    <row r="172" spans="1:20" ht="12.75">
      <c r="A172" s="10" t="s">
        <v>166</v>
      </c>
      <c r="B172" s="10">
        <v>5.4</v>
      </c>
      <c r="D172" s="10">
        <v>0.85</v>
      </c>
      <c r="E172" s="10">
        <v>0.85</v>
      </c>
      <c r="F172" s="10">
        <f t="shared" si="36"/>
        <v>1.8971199848858813</v>
      </c>
      <c r="G172" s="10">
        <f t="shared" si="37"/>
        <v>0.2780947990626133</v>
      </c>
      <c r="J172" s="10">
        <v>0.87</v>
      </c>
      <c r="K172" s="10">
        <v>0.87</v>
      </c>
      <c r="L172" s="10">
        <f t="shared" si="38"/>
        <v>2.0402208285265546</v>
      </c>
      <c r="M172" s="10">
        <f t="shared" si="39"/>
        <v>0.30967717694555646</v>
      </c>
      <c r="P172" s="10">
        <v>0.2780947990626133</v>
      </c>
      <c r="Q172" s="10">
        <v>0.36221568869946325</v>
      </c>
      <c r="R172" s="10">
        <v>13</v>
      </c>
      <c r="S172" s="10">
        <f t="shared" si="34"/>
        <v>0.5674157303370787</v>
      </c>
      <c r="T172" s="10">
        <f t="shared" si="35"/>
        <v>0.16979811334749684</v>
      </c>
    </row>
    <row r="173" spans="1:20" ht="12.75">
      <c r="A173" s="10" t="s">
        <v>160</v>
      </c>
      <c r="B173" s="10">
        <v>5.08</v>
      </c>
      <c r="D173" s="10">
        <v>0.84</v>
      </c>
      <c r="E173" s="10">
        <v>0.84</v>
      </c>
      <c r="F173" s="10">
        <f t="shared" si="36"/>
        <v>1.83258146374831</v>
      </c>
      <c r="G173" s="10">
        <f t="shared" si="37"/>
        <v>0.26306328943594726</v>
      </c>
      <c r="J173" s="10">
        <v>0.87</v>
      </c>
      <c r="K173" s="10">
        <v>0.87</v>
      </c>
      <c r="L173" s="10">
        <f t="shared" si="38"/>
        <v>2.0402208285265546</v>
      </c>
      <c r="M173" s="10">
        <f t="shared" si="39"/>
        <v>0.30967717694555646</v>
      </c>
      <c r="P173" s="10">
        <v>0.2780947990626133</v>
      </c>
      <c r="Q173" s="10">
        <v>0.36221568869946325</v>
      </c>
      <c r="R173" s="10">
        <v>14</v>
      </c>
      <c r="S173" s="10">
        <f t="shared" si="34"/>
        <v>0.6123595505617978</v>
      </c>
      <c r="T173" s="10">
        <f t="shared" si="35"/>
        <v>0.28547447072924115</v>
      </c>
    </row>
    <row r="174" spans="1:20" ht="12.75">
      <c r="A174" s="10" t="s">
        <v>174</v>
      </c>
      <c r="B174" s="10">
        <v>5.2</v>
      </c>
      <c r="D174" s="10">
        <v>0.92</v>
      </c>
      <c r="E174" s="10">
        <v>0.92</v>
      </c>
      <c r="F174" s="10">
        <f t="shared" si="36"/>
        <v>2.525728644308256</v>
      </c>
      <c r="G174" s="10">
        <f t="shared" si="37"/>
        <v>0.4023866896041339</v>
      </c>
      <c r="J174" s="10">
        <v>1</v>
      </c>
      <c r="K174" s="10">
        <v>1</v>
      </c>
      <c r="P174" s="10">
        <v>0.2780947990626133</v>
      </c>
      <c r="Q174" s="10">
        <v>0.36221568869946325</v>
      </c>
      <c r="R174" s="10">
        <v>15</v>
      </c>
      <c r="S174" s="10">
        <f t="shared" si="34"/>
        <v>0.6573033707865169</v>
      </c>
      <c r="T174" s="10">
        <f t="shared" si="35"/>
        <v>0.405113951273961</v>
      </c>
    </row>
    <row r="175" spans="1:20" ht="12.75">
      <c r="A175" s="10" t="s">
        <v>161</v>
      </c>
      <c r="B175" s="10">
        <v>5.48</v>
      </c>
      <c r="D175" s="10">
        <v>0.95</v>
      </c>
      <c r="E175" s="10">
        <v>0.95</v>
      </c>
      <c r="F175" s="10">
        <f t="shared" si="36"/>
        <v>2.99573227355399</v>
      </c>
      <c r="G175" s="10">
        <f t="shared" si="37"/>
        <v>0.47650299817509745</v>
      </c>
      <c r="J175" s="10">
        <v>0.96</v>
      </c>
      <c r="K175" s="10">
        <v>0.96</v>
      </c>
      <c r="L175" s="10">
        <f t="shared" si="38"/>
        <v>3.2188758248681997</v>
      </c>
      <c r="M175" s="10">
        <f>LOG(L175)</f>
        <v>0.5077042231551</v>
      </c>
      <c r="P175" s="10">
        <v>0.343856427337392</v>
      </c>
      <c r="Q175" s="10">
        <v>0.37503740644406475</v>
      </c>
      <c r="R175" s="10">
        <v>16</v>
      </c>
      <c r="S175" s="10">
        <f t="shared" si="34"/>
        <v>0.702247191011236</v>
      </c>
      <c r="T175" s="10">
        <f t="shared" si="35"/>
        <v>0.5308743311616126</v>
      </c>
    </row>
    <row r="176" spans="1:20" ht="12.75">
      <c r="A176" s="10" t="s">
        <v>155</v>
      </c>
      <c r="B176" s="10">
        <v>5.05</v>
      </c>
      <c r="D176" s="10">
        <v>0.55</v>
      </c>
      <c r="E176" s="10">
        <v>0.55</v>
      </c>
      <c r="F176" s="10">
        <f t="shared" si="36"/>
        <v>0.7985076962177717</v>
      </c>
      <c r="G176" s="10">
        <f t="shared" si="37"/>
        <v>-0.09772089366600901</v>
      </c>
      <c r="J176" s="10">
        <v>0.7</v>
      </c>
      <c r="K176" s="10">
        <v>0.7</v>
      </c>
      <c r="L176" s="10">
        <f t="shared" si="38"/>
        <v>1.203972804325936</v>
      </c>
      <c r="M176" s="10">
        <f>LOG(L176)</f>
        <v>0.08061667706751091</v>
      </c>
      <c r="P176" s="10">
        <v>0.343856427337392</v>
      </c>
      <c r="Q176" s="10">
        <v>0.4023866896041339</v>
      </c>
      <c r="R176" s="10">
        <v>17</v>
      </c>
      <c r="S176" s="10">
        <f t="shared" si="34"/>
        <v>0.7471910112359551</v>
      </c>
      <c r="T176" s="10">
        <f t="shared" si="35"/>
        <v>0.6656762252532644</v>
      </c>
    </row>
    <row r="177" spans="1:20" ht="12.75">
      <c r="A177" s="10" t="s">
        <v>106</v>
      </c>
      <c r="B177" s="10">
        <v>5.1</v>
      </c>
      <c r="D177" s="10">
        <v>0.82</v>
      </c>
      <c r="E177" s="10">
        <v>0.82</v>
      </c>
      <c r="F177" s="10">
        <f t="shared" si="36"/>
        <v>1.7147984280919264</v>
      </c>
      <c r="G177" s="10">
        <f t="shared" si="37"/>
        <v>0.23421307673309275</v>
      </c>
      <c r="J177" s="10">
        <v>0.82</v>
      </c>
      <c r="K177" s="10">
        <v>0.82</v>
      </c>
      <c r="L177" s="10">
        <f t="shared" si="38"/>
        <v>1.7147984280919264</v>
      </c>
      <c r="M177" s="10">
        <f>LOG(L177)</f>
        <v>0.23421307673309275</v>
      </c>
      <c r="P177" s="10">
        <v>0.36221568869946325</v>
      </c>
      <c r="Q177" s="10">
        <v>0.4023866896041339</v>
      </c>
      <c r="R177" s="10">
        <v>18</v>
      </c>
      <c r="S177" s="10">
        <f t="shared" si="34"/>
        <v>0.7921348314606742</v>
      </c>
      <c r="T177" s="10">
        <f t="shared" si="35"/>
        <v>0.8138499651977327</v>
      </c>
    </row>
    <row r="178" spans="1:20" ht="12.75">
      <c r="A178" s="10" t="s">
        <v>143</v>
      </c>
      <c r="B178" s="10">
        <v>5.03</v>
      </c>
      <c r="D178" s="10">
        <v>0.6</v>
      </c>
      <c r="E178" s="10">
        <v>0.6</v>
      </c>
      <c r="F178" s="10">
        <f t="shared" si="36"/>
        <v>0.916290731874155</v>
      </c>
      <c r="G178" s="10">
        <f t="shared" si="37"/>
        <v>-0.03796670622803395</v>
      </c>
      <c r="J178" s="10">
        <v>0.6</v>
      </c>
      <c r="K178" s="10">
        <v>0.6</v>
      </c>
      <c r="L178" s="10">
        <f t="shared" si="38"/>
        <v>0.916290731874155</v>
      </c>
      <c r="M178" s="10">
        <f>LOG(L178)</f>
        <v>-0.03796670622803395</v>
      </c>
      <c r="P178" s="10">
        <v>0.4023866896041339</v>
      </c>
      <c r="Q178" s="10">
        <v>0.47650299817509745</v>
      </c>
      <c r="R178" s="10">
        <v>19</v>
      </c>
      <c r="S178" s="10">
        <f t="shared" si="34"/>
        <v>0.8370786516853933</v>
      </c>
      <c r="T178" s="10">
        <f t="shared" si="35"/>
        <v>0.9825225788517855</v>
      </c>
    </row>
    <row r="179" spans="1:20" ht="12.75">
      <c r="A179" s="10" t="s">
        <v>144</v>
      </c>
      <c r="B179" s="10">
        <v>5.76</v>
      </c>
      <c r="P179" s="10">
        <v>0.4023866896041339</v>
      </c>
      <c r="Q179" s="10">
        <v>0.47650299817509745</v>
      </c>
      <c r="R179" s="10">
        <v>20</v>
      </c>
      <c r="S179" s="10">
        <f t="shared" si="34"/>
        <v>0.8820224719101124</v>
      </c>
      <c r="T179" s="10">
        <f t="shared" si="35"/>
        <v>1.185157998406794</v>
      </c>
    </row>
    <row r="180" spans="1:20" ht="12.75">
      <c r="A180" s="10" t="s">
        <v>145</v>
      </c>
      <c r="B180" s="10">
        <v>5.04</v>
      </c>
      <c r="D180" s="10">
        <v>0.84</v>
      </c>
      <c r="E180" s="10">
        <v>0.84</v>
      </c>
      <c r="F180" s="10">
        <f>-LN(1-E180)</f>
        <v>1.83258146374831</v>
      </c>
      <c r="G180" s="10">
        <f>LOG(F180)</f>
        <v>0.26306328943594726</v>
      </c>
      <c r="J180" s="10">
        <v>0.95</v>
      </c>
      <c r="K180" s="10">
        <v>0.95</v>
      </c>
      <c r="L180" s="10">
        <f>-LN(1-K180)</f>
        <v>2.99573227355399</v>
      </c>
      <c r="M180" s="10">
        <f>LOG(L180)</f>
        <v>0.47650299817509745</v>
      </c>
      <c r="P180" s="10">
        <v>0.47650299817509745</v>
      </c>
      <c r="Q180" s="10">
        <v>0.5077042231551</v>
      </c>
      <c r="R180" s="10">
        <v>21</v>
      </c>
      <c r="S180" s="10">
        <f t="shared" si="34"/>
        <v>0.9269662921348315</v>
      </c>
      <c r="T180" s="10">
        <f t="shared" si="35"/>
        <v>1.4535635273205116</v>
      </c>
    </row>
    <row r="181" spans="1:20" ht="12.75">
      <c r="A181" s="10" t="s">
        <v>156</v>
      </c>
      <c r="B181" s="10">
        <v>5.15</v>
      </c>
      <c r="D181" s="10">
        <v>0.89</v>
      </c>
      <c r="E181" s="10">
        <v>0.89</v>
      </c>
      <c r="F181" s="10">
        <f>-LN(1-E181)</f>
        <v>2.207274913189721</v>
      </c>
      <c r="G181" s="10">
        <f>LOG(F181)</f>
        <v>0.343856427337392</v>
      </c>
      <c r="J181" s="10">
        <v>0.89</v>
      </c>
      <c r="K181" s="10">
        <v>0.89</v>
      </c>
      <c r="L181" s="10">
        <f>-LN(1-K181)</f>
        <v>2.207274913189721</v>
      </c>
      <c r="M181" s="10">
        <f>LOG(L181)</f>
        <v>0.343856427337392</v>
      </c>
      <c r="P181" s="10">
        <v>0.47650299817509745</v>
      </c>
      <c r="R181" s="10">
        <v>22</v>
      </c>
      <c r="S181" s="10">
        <f t="shared" si="34"/>
        <v>0.9719101123595506</v>
      </c>
      <c r="T181" s="10">
        <f t="shared" si="35"/>
        <v>1.9096387404715642</v>
      </c>
    </row>
    <row r="182" spans="1:13" ht="12.75">
      <c r="A182" s="10" t="s">
        <v>146</v>
      </c>
      <c r="B182" s="10">
        <v>5.19</v>
      </c>
      <c r="D182" s="10">
        <v>0.92</v>
      </c>
      <c r="E182" s="10">
        <v>0.92</v>
      </c>
      <c r="F182" s="10">
        <f>-LN(1-E182)</f>
        <v>2.525728644308256</v>
      </c>
      <c r="G182" s="10">
        <f>LOG(F182)</f>
        <v>0.4023866896041339</v>
      </c>
      <c r="J182" s="10">
        <v>0.92</v>
      </c>
      <c r="K182" s="10">
        <v>0.92</v>
      </c>
      <c r="L182" s="10">
        <f>-LN(1-K182)</f>
        <v>2.525728644308256</v>
      </c>
      <c r="M182" s="10">
        <f>LOG(L182)</f>
        <v>0.4023866896041339</v>
      </c>
    </row>
    <row r="183" spans="1:14" ht="12.75">
      <c r="A183" s="15" t="s">
        <v>147</v>
      </c>
      <c r="B183" s="15">
        <v>5</v>
      </c>
      <c r="C183" s="15"/>
      <c r="D183" s="15">
        <v>0.65</v>
      </c>
      <c r="E183" s="15"/>
      <c r="H183" s="10">
        <f>COUNT(G160:G185)</f>
        <v>22</v>
      </c>
      <c r="J183" s="15">
        <v>0.95</v>
      </c>
      <c r="N183" s="10">
        <f>COUNT(M160:M185)</f>
        <v>21</v>
      </c>
    </row>
    <row r="184" spans="1:14" ht="12.75">
      <c r="A184" s="15" t="s">
        <v>147</v>
      </c>
      <c r="B184" s="15">
        <v>5.1</v>
      </c>
      <c r="C184" s="15"/>
      <c r="D184" s="15">
        <v>0.67</v>
      </c>
      <c r="E184" s="15"/>
      <c r="H184" s="10" t="s">
        <v>140</v>
      </c>
      <c r="J184" s="15">
        <v>0.86</v>
      </c>
      <c r="N184" s="10" t="s">
        <v>140</v>
      </c>
    </row>
    <row r="185" spans="1:14" ht="12.75">
      <c r="A185" s="15" t="s">
        <v>147</v>
      </c>
      <c r="B185" s="15">
        <v>5.14</v>
      </c>
      <c r="C185" s="15"/>
      <c r="D185" s="15">
        <v>0.6</v>
      </c>
      <c r="E185" s="15">
        <f>AVERAGE(D183:D185)</f>
        <v>0.64</v>
      </c>
      <c r="F185" s="10">
        <f>-LN(1-E185)</f>
        <v>1.0216512475319814</v>
      </c>
      <c r="G185" s="10">
        <f>LOG(F185)</f>
        <v>0.00930266965290335</v>
      </c>
      <c r="H185" s="26">
        <f>STDEV(G160:G185)</f>
        <v>0.1846606245689666</v>
      </c>
      <c r="J185" s="15">
        <v>0.91</v>
      </c>
      <c r="K185" s="15">
        <f>AVERAGE(J183:J185)</f>
        <v>0.9066666666666667</v>
      </c>
      <c r="L185" s="10">
        <f>-LN(1-K185)</f>
        <v>2.371577964480998</v>
      </c>
      <c r="M185" s="10">
        <f>LOG(L185)</f>
        <v>0.37503740644406475</v>
      </c>
      <c r="N185" s="26">
        <f>STDEV(M160:M185)</f>
        <v>0.1413556626400213</v>
      </c>
    </row>
    <row r="186" spans="5:11" ht="12.75">
      <c r="E186" s="14">
        <f>AVERAGE(E160:E185)</f>
        <v>0.7986363636363637</v>
      </c>
      <c r="J186" s="14"/>
      <c r="K186" s="14">
        <f>AVERAGE(K160:K185)</f>
        <v>0.8625757575757576</v>
      </c>
    </row>
    <row r="187" ht="12.75">
      <c r="A187" s="10" t="s">
        <v>184</v>
      </c>
    </row>
    <row r="189" spans="1:13" ht="12.75">
      <c r="A189" s="10" t="s">
        <v>164</v>
      </c>
      <c r="B189" s="10">
        <v>7.08</v>
      </c>
      <c r="D189" s="10">
        <v>0.8</v>
      </c>
      <c r="E189" s="10">
        <v>0.8</v>
      </c>
      <c r="F189" s="10">
        <f>-LN(1-E189)</f>
        <v>1.6094379124341005</v>
      </c>
      <c r="G189" s="10">
        <f>LOG(F189)</f>
        <v>0.20667422749111897</v>
      </c>
      <c r="J189" s="10">
        <v>0.95</v>
      </c>
      <c r="K189" s="10">
        <v>0.95</v>
      </c>
      <c r="L189" s="10">
        <f>-LN(1-K189)</f>
        <v>2.99573227355399</v>
      </c>
      <c r="M189" s="10">
        <f>LOG(L189)</f>
        <v>0.47650299817509745</v>
      </c>
    </row>
    <row r="190" spans="1:13" ht="12.75">
      <c r="A190" s="10" t="s">
        <v>154</v>
      </c>
      <c r="B190" s="10">
        <v>7.16</v>
      </c>
      <c r="D190" s="10">
        <v>0.94</v>
      </c>
      <c r="E190" s="10">
        <v>0.94</v>
      </c>
      <c r="F190" s="10">
        <f>-LN(1-E190)</f>
        <v>2.8134107167600355</v>
      </c>
      <c r="G190" s="10">
        <f>LOG(F190)</f>
        <v>0.44923313742720716</v>
      </c>
      <c r="J190" s="10">
        <v>0.94</v>
      </c>
      <c r="K190" s="10">
        <v>0.94</v>
      </c>
      <c r="L190" s="10">
        <f>-LN(1-K190)</f>
        <v>2.8134107167600355</v>
      </c>
      <c r="M190" s="10">
        <f>LOG(L190)</f>
        <v>0.44923313742720716</v>
      </c>
    </row>
    <row r="191" spans="1:7" ht="12.75">
      <c r="A191" s="10" t="s">
        <v>154</v>
      </c>
      <c r="B191" s="10">
        <v>7.9</v>
      </c>
      <c r="D191" s="10">
        <v>0.73</v>
      </c>
      <c r="E191" s="10">
        <f>AVERAGE(D190:D191)</f>
        <v>0.835</v>
      </c>
      <c r="F191" s="10">
        <f>-LN(1-E191)</f>
        <v>1.801809805081556</v>
      </c>
      <c r="G191" s="10">
        <f>LOG(F191)</f>
        <v>0.25570894593106963</v>
      </c>
    </row>
    <row r="192" spans="1:13" ht="12.75">
      <c r="A192" s="10" t="s">
        <v>155</v>
      </c>
      <c r="B192" s="10">
        <v>6.76</v>
      </c>
      <c r="D192" s="10">
        <v>0.84</v>
      </c>
      <c r="E192" s="10">
        <v>0.84</v>
      </c>
      <c r="F192" s="10">
        <f>-LN(1-E192)</f>
        <v>1.83258146374831</v>
      </c>
      <c r="G192" s="10">
        <f>LOG(F192)</f>
        <v>0.26306328943594726</v>
      </c>
      <c r="J192" s="10">
        <v>0.9</v>
      </c>
      <c r="K192" s="10">
        <v>0.9</v>
      </c>
      <c r="L192" s="10">
        <f>-LN(1-K192)</f>
        <v>2.302585092994046</v>
      </c>
      <c r="M192" s="10">
        <f>LOG(L192)</f>
        <v>0.36221568869946325</v>
      </c>
    </row>
    <row r="193" spans="1:14" ht="12.75">
      <c r="A193" s="10" t="s">
        <v>144</v>
      </c>
      <c r="B193" s="10">
        <v>7.25</v>
      </c>
      <c r="H193" s="10" t="s">
        <v>140</v>
      </c>
      <c r="N193" s="10" t="s">
        <v>140</v>
      </c>
    </row>
    <row r="194" spans="1:14" ht="12.75">
      <c r="A194" s="10" t="s">
        <v>147</v>
      </c>
      <c r="B194" s="10">
        <v>6.8</v>
      </c>
      <c r="D194" s="10">
        <v>0.76</v>
      </c>
      <c r="E194" s="10">
        <v>0.76</v>
      </c>
      <c r="F194" s="10">
        <f>-LN(1-E194)</f>
        <v>1.4271163556401458</v>
      </c>
      <c r="G194" s="10">
        <f>LOG(F194)</f>
        <v>0.15445938345268856</v>
      </c>
      <c r="H194" s="10">
        <f>STDEV(G189:G194)</f>
        <v>0.11141097440101405</v>
      </c>
      <c r="N194" s="10">
        <f>STDEV(M189:M194)</f>
        <v>0.05968985228589875</v>
      </c>
    </row>
    <row r="195" spans="1:11" ht="12.75">
      <c r="A195" s="10" t="s">
        <v>141</v>
      </c>
      <c r="B195" s="10" t="s">
        <v>175</v>
      </c>
      <c r="E195" s="14">
        <f>AVERAGE(E189:E194)</f>
        <v>0.835</v>
      </c>
      <c r="J195" s="14"/>
      <c r="K195" s="14">
        <f>AVERAGE(K189:K194)</f>
        <v>0.93</v>
      </c>
    </row>
    <row r="198" ht="12.75">
      <c r="A198" s="10" t="s">
        <v>228</v>
      </c>
    </row>
    <row r="199" ht="12.75">
      <c r="A199" s="10" t="s">
        <v>229</v>
      </c>
    </row>
    <row r="200" ht="12.75">
      <c r="A200" s="10" t="s">
        <v>230</v>
      </c>
    </row>
    <row r="202" ht="12.75">
      <c r="A202" s="10" t="s">
        <v>231</v>
      </c>
    </row>
    <row r="204" ht="12.75">
      <c r="A204" s="36" t="s">
        <v>232</v>
      </c>
    </row>
    <row r="206" spans="1:6" ht="12.75">
      <c r="A206" s="10" t="s">
        <v>0</v>
      </c>
      <c r="D206" s="10" t="s">
        <v>1</v>
      </c>
      <c r="F206" s="10" t="s">
        <v>2</v>
      </c>
    </row>
    <row r="207" spans="1:9" ht="13.5">
      <c r="A207" s="10">
        <v>1</v>
      </c>
      <c r="B207" s="27">
        <v>50.11</v>
      </c>
      <c r="D207" s="29">
        <v>1.025</v>
      </c>
      <c r="E207" s="28"/>
      <c r="F207" s="31" t="s">
        <v>3</v>
      </c>
      <c r="G207" s="31" t="s">
        <v>3</v>
      </c>
      <c r="H207" s="31" t="s">
        <v>3</v>
      </c>
      <c r="I207" s="10">
        <f>NORMSINV((A207-(3/8))/30.25)</f>
        <v>-2.0402785594342276</v>
      </c>
    </row>
    <row r="208" spans="1:9" ht="13.5">
      <c r="A208" s="10">
        <v>2</v>
      </c>
      <c r="B208" s="27">
        <v>43.87</v>
      </c>
      <c r="D208" s="29">
        <v>0.9833</v>
      </c>
      <c r="E208" s="28"/>
      <c r="F208" s="30">
        <f aca="true" t="shared" si="40" ref="F208:F235">1-D208</f>
        <v>0.016700000000000048</v>
      </c>
      <c r="G208" s="10">
        <f aca="true" t="shared" si="41" ref="G208:G235">-LN(1-F208)</f>
        <v>0.01684101719602656</v>
      </c>
      <c r="H208" s="10">
        <f aca="true" t="shared" si="42" ref="H208:H235">LOG(G208)</f>
        <v>-1.7736316806938592</v>
      </c>
      <c r="I208" s="10">
        <f aca="true" t="shared" si="43" ref="I208:I236">NORMSINV((A208-(3/8))/30.25)</f>
        <v>-1.6098147170851007</v>
      </c>
    </row>
    <row r="209" spans="1:9" ht="13.5">
      <c r="A209" s="10">
        <v>3</v>
      </c>
      <c r="B209" s="27">
        <v>37.44</v>
      </c>
      <c r="D209" s="29">
        <v>0.9486</v>
      </c>
      <c r="E209" s="28"/>
      <c r="F209" s="30">
        <f t="shared" si="40"/>
        <v>0.0514</v>
      </c>
      <c r="G209" s="10">
        <f t="shared" si="41"/>
        <v>0.05276806553865572</v>
      </c>
      <c r="H209" s="10">
        <f t="shared" si="42"/>
        <v>-1.2776288266355817</v>
      </c>
      <c r="I209" s="10">
        <f t="shared" si="43"/>
        <v>-1.3608723747893237</v>
      </c>
    </row>
    <row r="210" spans="1:9" ht="13.5">
      <c r="A210" s="10">
        <v>4</v>
      </c>
      <c r="B210" s="27">
        <v>49.93</v>
      </c>
      <c r="D210" s="29">
        <v>0.9286</v>
      </c>
      <c r="E210" s="28"/>
      <c r="F210" s="30">
        <f t="shared" si="40"/>
        <v>0.07140000000000002</v>
      </c>
      <c r="G210" s="10">
        <f t="shared" si="41"/>
        <v>0.07407720339631574</v>
      </c>
      <c r="H210" s="10">
        <f t="shared" si="42"/>
        <v>-1.1303154217428881</v>
      </c>
      <c r="I210" s="10">
        <f t="shared" si="43"/>
        <v>-1.175812940346077</v>
      </c>
    </row>
    <row r="211" spans="1:9" ht="13.5">
      <c r="A211" s="10">
        <v>5</v>
      </c>
      <c r="B211" s="27">
        <v>56.92</v>
      </c>
      <c r="D211" s="29">
        <v>0.9286</v>
      </c>
      <c r="E211" s="28"/>
      <c r="F211" s="30">
        <f t="shared" si="40"/>
        <v>0.07140000000000002</v>
      </c>
      <c r="G211" s="10">
        <f t="shared" si="41"/>
        <v>0.07407720339631574</v>
      </c>
      <c r="H211" s="10">
        <f t="shared" si="42"/>
        <v>-1.1303154217428881</v>
      </c>
      <c r="I211" s="10">
        <f t="shared" si="43"/>
        <v>-1.0241069503535982</v>
      </c>
    </row>
    <row r="212" spans="1:9" ht="13.5">
      <c r="A212" s="10">
        <v>6</v>
      </c>
      <c r="B212" s="27">
        <v>7.754</v>
      </c>
      <c r="D212" s="29">
        <v>0.9122</v>
      </c>
      <c r="E212" s="28"/>
      <c r="F212" s="30">
        <f t="shared" si="40"/>
        <v>0.08779999999999999</v>
      </c>
      <c r="G212" s="10">
        <f t="shared" si="41"/>
        <v>0.091896014704537</v>
      </c>
      <c r="H212" s="10">
        <f t="shared" si="42"/>
        <v>-1.0367033224480324</v>
      </c>
      <c r="I212" s="10">
        <f t="shared" si="43"/>
        <v>-0.8929191608331166</v>
      </c>
    </row>
    <row r="213" spans="1:9" ht="13.5">
      <c r="A213" s="10">
        <v>7</v>
      </c>
      <c r="B213" s="27">
        <v>24.96</v>
      </c>
      <c r="D213" s="29">
        <v>0.9085</v>
      </c>
      <c r="E213" s="28"/>
      <c r="F213" s="30">
        <f t="shared" si="40"/>
        <v>0.09150000000000003</v>
      </c>
      <c r="G213" s="10">
        <f t="shared" si="41"/>
        <v>0.09596039114591119</v>
      </c>
      <c r="H213" s="10">
        <f t="shared" si="42"/>
        <v>-1.0179079904648922</v>
      </c>
      <c r="I213" s="10">
        <f t="shared" si="43"/>
        <v>-0.7755465958325658</v>
      </c>
    </row>
    <row r="214" spans="1:9" ht="13.5">
      <c r="A214" s="10">
        <v>8</v>
      </c>
      <c r="B214" s="27">
        <v>24.77</v>
      </c>
      <c r="D214" s="29">
        <v>0.8903</v>
      </c>
      <c r="E214" s="28"/>
      <c r="F214" s="30">
        <f t="shared" si="40"/>
        <v>0.10970000000000002</v>
      </c>
      <c r="G214" s="10">
        <f t="shared" si="41"/>
        <v>0.11619679440251157</v>
      </c>
      <c r="H214" s="10">
        <f t="shared" si="42"/>
        <v>-0.9348058529483012</v>
      </c>
      <c r="I214" s="10">
        <f t="shared" si="43"/>
        <v>-0.6680011210846715</v>
      </c>
    </row>
    <row r="215" spans="1:9" ht="13.5">
      <c r="A215" s="10">
        <v>9</v>
      </c>
      <c r="B215" s="27">
        <v>29.88</v>
      </c>
      <c r="D215" s="29">
        <v>0.8903</v>
      </c>
      <c r="E215" s="28"/>
      <c r="F215" s="30">
        <f t="shared" si="40"/>
        <v>0.10970000000000002</v>
      </c>
      <c r="G215" s="10">
        <f t="shared" si="41"/>
        <v>0.11619679440251157</v>
      </c>
      <c r="H215" s="10">
        <f t="shared" si="42"/>
        <v>-0.9348058529483012</v>
      </c>
      <c r="I215" s="10">
        <f t="shared" si="43"/>
        <v>-0.5676861292158719</v>
      </c>
    </row>
    <row r="216" spans="1:9" ht="13.5">
      <c r="A216" s="10">
        <v>10</v>
      </c>
      <c r="B216" s="27">
        <v>41.04</v>
      </c>
      <c r="D216" s="29">
        <v>0.8793000000000001</v>
      </c>
      <c r="E216" s="28"/>
      <c r="F216" s="30">
        <f t="shared" si="40"/>
        <v>0.12069999999999992</v>
      </c>
      <c r="G216" s="10">
        <f t="shared" si="41"/>
        <v>0.12862914259718053</v>
      </c>
      <c r="H216" s="10">
        <f t="shared" si="42"/>
        <v>-0.8906606252275658</v>
      </c>
      <c r="I216" s="10">
        <f t="shared" si="43"/>
        <v>-0.4727894520328846</v>
      </c>
    </row>
    <row r="217" spans="1:9" ht="13.5">
      <c r="A217" s="10">
        <f>1+A216</f>
        <v>11</v>
      </c>
      <c r="B217" s="27">
        <v>3.782</v>
      </c>
      <c r="D217" s="29">
        <v>0.8629000000000001</v>
      </c>
      <c r="E217" s="28"/>
      <c r="F217" s="30">
        <f t="shared" si="40"/>
        <v>0.1370999999999999</v>
      </c>
      <c r="G217" s="10">
        <f t="shared" si="41"/>
        <v>0.1474564694678751</v>
      </c>
      <c r="H217" s="10">
        <f t="shared" si="42"/>
        <v>-0.8313361685678421</v>
      </c>
      <c r="I217" s="10">
        <f t="shared" si="43"/>
        <v>-0.3819764060608577</v>
      </c>
    </row>
    <row r="218" spans="1:9" ht="13.5">
      <c r="A218" s="10">
        <f aca="true" t="shared" si="44" ref="A218:A236">1+A217</f>
        <v>12</v>
      </c>
      <c r="B218" s="27">
        <v>61.84</v>
      </c>
      <c r="D218" s="29">
        <v>0.8465</v>
      </c>
      <c r="E218" s="28"/>
      <c r="F218" s="30">
        <f t="shared" si="40"/>
        <v>0.15349999999999997</v>
      </c>
      <c r="G218" s="10">
        <f t="shared" si="41"/>
        <v>0.166645077408947</v>
      </c>
      <c r="H218" s="10">
        <f t="shared" si="42"/>
        <v>-0.7782075106005475</v>
      </c>
      <c r="I218" s="10">
        <f t="shared" si="43"/>
        <v>-0.29421357794490177</v>
      </c>
    </row>
    <row r="219" spans="1:9" ht="13.5">
      <c r="A219" s="10">
        <f t="shared" si="44"/>
        <v>13</v>
      </c>
      <c r="B219" s="27">
        <v>10.78</v>
      </c>
      <c r="D219" s="29">
        <v>0.8301000000000001</v>
      </c>
      <c r="E219" s="28"/>
      <c r="F219" s="30">
        <f t="shared" si="40"/>
        <v>0.16989999999999994</v>
      </c>
      <c r="G219" s="10">
        <f t="shared" si="41"/>
        <v>0.18620910352114703</v>
      </c>
      <c r="H219" s="10">
        <f t="shared" si="42"/>
        <v>-0.7299990907426726</v>
      </c>
      <c r="I219" s="10">
        <f t="shared" si="43"/>
        <v>-0.2086630956910085</v>
      </c>
    </row>
    <row r="220" spans="1:9" ht="13.5">
      <c r="A220" s="10">
        <f t="shared" si="44"/>
        <v>14</v>
      </c>
      <c r="B220" s="27">
        <v>32.91</v>
      </c>
      <c r="D220" s="29">
        <v>0.8173</v>
      </c>
      <c r="E220" s="28"/>
      <c r="F220" s="30">
        <f t="shared" si="40"/>
        <v>0.18269999999999997</v>
      </c>
      <c r="G220" s="10">
        <f t="shared" si="41"/>
        <v>0.201749054460053</v>
      </c>
      <c r="H220" s="10">
        <f t="shared" si="42"/>
        <v>-0.6951884920147825</v>
      </c>
      <c r="I220" s="10">
        <f t="shared" si="43"/>
        <v>-0.1246166903001722</v>
      </c>
    </row>
    <row r="221" spans="1:9" ht="13.5">
      <c r="A221" s="10">
        <f t="shared" si="44"/>
        <v>15</v>
      </c>
      <c r="B221" s="27">
        <v>61.08</v>
      </c>
      <c r="D221" s="29">
        <v>0.8155</v>
      </c>
      <c r="E221" s="28"/>
      <c r="F221" s="30">
        <f t="shared" si="40"/>
        <v>0.1845</v>
      </c>
      <c r="G221" s="10">
        <f t="shared" si="41"/>
        <v>0.20395385692106846</v>
      </c>
      <c r="H221" s="10">
        <f t="shared" si="42"/>
        <v>-0.6904680774334326</v>
      </c>
      <c r="I221" s="10">
        <f t="shared" si="43"/>
        <v>-0.04144339982303791</v>
      </c>
    </row>
    <row r="222" spans="1:9" ht="13.5">
      <c r="A222" s="10">
        <f t="shared" si="44"/>
        <v>16</v>
      </c>
      <c r="B222" s="27">
        <v>14.75</v>
      </c>
      <c r="D222" s="29">
        <v>0.8081999999999999</v>
      </c>
      <c r="E222" s="28"/>
      <c r="F222" s="30">
        <f t="shared" si="40"/>
        <v>0.19180000000000008</v>
      </c>
      <c r="G222" s="10">
        <f t="shared" si="41"/>
        <v>0.21294572633776387</v>
      </c>
      <c r="H222" s="10">
        <f t="shared" si="42"/>
        <v>-0.6717310714697866</v>
      </c>
      <c r="I222" s="10">
        <f t="shared" si="43"/>
        <v>0.04144339982303791</v>
      </c>
    </row>
    <row r="223" spans="1:9" ht="13.5">
      <c r="A223" s="10">
        <f t="shared" si="44"/>
        <v>17</v>
      </c>
      <c r="B223" s="27">
        <v>18.72</v>
      </c>
      <c r="D223" s="29">
        <v>0.7954000000000001</v>
      </c>
      <c r="E223" s="28"/>
      <c r="F223" s="30">
        <f t="shared" si="40"/>
        <v>0.2045999999999999</v>
      </c>
      <c r="G223" s="10">
        <f t="shared" si="41"/>
        <v>0.22891014620854666</v>
      </c>
      <c r="H223" s="10">
        <f t="shared" si="42"/>
        <v>-0.640334957239275</v>
      </c>
      <c r="I223" s="10">
        <f t="shared" si="43"/>
        <v>0.1246166903001722</v>
      </c>
    </row>
    <row r="224" spans="1:9" ht="13.5">
      <c r="A224" s="10">
        <f t="shared" si="44"/>
        <v>18</v>
      </c>
      <c r="B224" s="27">
        <v>60.14</v>
      </c>
      <c r="D224" s="29">
        <v>0.7681</v>
      </c>
      <c r="E224" s="28"/>
      <c r="F224" s="30">
        <f t="shared" si="40"/>
        <v>0.2319</v>
      </c>
      <c r="G224" s="10">
        <f t="shared" si="41"/>
        <v>0.2638353459775008</v>
      </c>
      <c r="H224" s="10">
        <f t="shared" si="42"/>
        <v>-0.5786670225323224</v>
      </c>
      <c r="I224" s="10">
        <f t="shared" si="43"/>
        <v>0.2086630956910085</v>
      </c>
    </row>
    <row r="225" spans="1:9" ht="13.5">
      <c r="A225" s="10">
        <f t="shared" si="44"/>
        <v>19</v>
      </c>
      <c r="B225" s="27">
        <v>39.9</v>
      </c>
      <c r="D225" s="29">
        <v>0.7644</v>
      </c>
      <c r="E225" s="28"/>
      <c r="F225" s="30">
        <f t="shared" si="40"/>
        <v>0.23560000000000003</v>
      </c>
      <c r="G225" s="10">
        <f t="shared" si="41"/>
        <v>0.2686640666160191</v>
      </c>
      <c r="H225" s="10">
        <f t="shared" si="42"/>
        <v>-0.5707904158666047</v>
      </c>
      <c r="I225" s="10">
        <f t="shared" si="43"/>
        <v>0.29421357794490177</v>
      </c>
    </row>
    <row r="226" spans="1:9" ht="13.5">
      <c r="A226" s="10">
        <f t="shared" si="44"/>
        <v>20</v>
      </c>
      <c r="B226" s="27">
        <v>41.98</v>
      </c>
      <c r="D226" s="29">
        <v>0.759</v>
      </c>
      <c r="E226" s="28"/>
      <c r="F226" s="30">
        <f t="shared" si="40"/>
        <v>0.241</v>
      </c>
      <c r="G226" s="10">
        <f t="shared" si="41"/>
        <v>0.27575350158650713</v>
      </c>
      <c r="H226" s="10">
        <f t="shared" si="42"/>
        <v>-0.5594789640734738</v>
      </c>
      <c r="I226" s="10">
        <f t="shared" si="43"/>
        <v>0.3819764060608577</v>
      </c>
    </row>
    <row r="227" spans="1:9" ht="13.5">
      <c r="A227" s="10">
        <f t="shared" si="44"/>
        <v>21</v>
      </c>
      <c r="B227" s="27">
        <v>34.8</v>
      </c>
      <c r="D227" s="29">
        <v>0.7553</v>
      </c>
      <c r="E227" s="28"/>
      <c r="F227" s="30">
        <f t="shared" si="40"/>
        <v>0.24470000000000003</v>
      </c>
      <c r="G227" s="10">
        <f t="shared" si="41"/>
        <v>0.2806402576627348</v>
      </c>
      <c r="H227" s="10">
        <f t="shared" si="42"/>
        <v>-0.5518500295774067</v>
      </c>
      <c r="I227" s="10">
        <f t="shared" si="43"/>
        <v>0.4727894520328846</v>
      </c>
    </row>
    <row r="228" spans="1:9" ht="13.5">
      <c r="A228" s="10">
        <f t="shared" si="44"/>
        <v>22</v>
      </c>
      <c r="B228" s="27">
        <v>19.67</v>
      </c>
      <c r="D228" s="29">
        <v>0.7535</v>
      </c>
      <c r="E228" s="28"/>
      <c r="F228" s="30">
        <f t="shared" si="40"/>
        <v>0.24650000000000005</v>
      </c>
      <c r="G228" s="10">
        <f t="shared" si="41"/>
        <v>0.28302626091558697</v>
      </c>
      <c r="H228" s="10">
        <f t="shared" si="42"/>
        <v>-0.5481732660954937</v>
      </c>
      <c r="I228" s="10">
        <f t="shared" si="43"/>
        <v>0.5676861292158719</v>
      </c>
    </row>
    <row r="229" spans="1:9" ht="13.5">
      <c r="A229" s="10">
        <f t="shared" si="44"/>
        <v>23</v>
      </c>
      <c r="B229" s="27">
        <v>5.673</v>
      </c>
      <c r="D229" s="29">
        <v>0.7406999999999999</v>
      </c>
      <c r="E229" s="28"/>
      <c r="F229" s="30">
        <f t="shared" si="40"/>
        <v>0.2593000000000001</v>
      </c>
      <c r="G229" s="10">
        <f t="shared" si="41"/>
        <v>0.30015959396289366</v>
      </c>
      <c r="H229" s="10">
        <f t="shared" si="42"/>
        <v>-0.5226477707870171</v>
      </c>
      <c r="I229" s="10">
        <f t="shared" si="43"/>
        <v>0.6680011210846715</v>
      </c>
    </row>
    <row r="230" spans="1:9" ht="13.5">
      <c r="A230" s="10">
        <f t="shared" si="44"/>
        <v>24</v>
      </c>
      <c r="B230" s="27">
        <v>41.98</v>
      </c>
      <c r="D230" s="29">
        <v>0.7389</v>
      </c>
      <c r="E230" s="28"/>
      <c r="F230" s="30">
        <f t="shared" si="40"/>
        <v>0.2611</v>
      </c>
      <c r="G230" s="10">
        <f t="shared" si="41"/>
        <v>0.3025926851875351</v>
      </c>
      <c r="H230" s="10">
        <f t="shared" si="42"/>
        <v>-0.5191415747301711</v>
      </c>
      <c r="I230" s="10">
        <f t="shared" si="43"/>
        <v>0.7755465958325658</v>
      </c>
    </row>
    <row r="231" spans="1:9" ht="13.5">
      <c r="A231" s="10">
        <f t="shared" si="44"/>
        <v>25</v>
      </c>
      <c r="B231" s="27">
        <v>23.07</v>
      </c>
      <c r="D231" s="29">
        <v>0.7298</v>
      </c>
      <c r="E231" s="28"/>
      <c r="F231" s="30">
        <f t="shared" si="40"/>
        <v>0.2702</v>
      </c>
      <c r="G231" s="10">
        <f t="shared" si="41"/>
        <v>0.3149847549797898</v>
      </c>
      <c r="H231" s="10">
        <f t="shared" si="42"/>
        <v>-0.5017104652211065</v>
      </c>
      <c r="I231" s="10">
        <f t="shared" si="43"/>
        <v>0.8929191608331166</v>
      </c>
    </row>
    <row r="232" spans="1:9" ht="13.5">
      <c r="A232" s="10">
        <f t="shared" si="44"/>
        <v>26</v>
      </c>
      <c r="B232" s="27">
        <v>36.88</v>
      </c>
      <c r="D232" s="29">
        <v>0.6878</v>
      </c>
      <c r="E232" s="28"/>
      <c r="F232" s="30">
        <f t="shared" si="40"/>
        <v>0.31220000000000003</v>
      </c>
      <c r="G232" s="10">
        <f t="shared" si="41"/>
        <v>0.3742571809839712</v>
      </c>
      <c r="H232" s="10">
        <f t="shared" si="42"/>
        <v>-0.4268298579674249</v>
      </c>
      <c r="I232" s="10">
        <f t="shared" si="43"/>
        <v>1.0241069503535982</v>
      </c>
    </row>
    <row r="233" spans="1:9" ht="13.5">
      <c r="A233" s="10">
        <f t="shared" si="44"/>
        <v>27</v>
      </c>
      <c r="B233" s="27">
        <v>34.8</v>
      </c>
      <c r="D233" s="29">
        <v>0.6476999999999999</v>
      </c>
      <c r="E233" s="28"/>
      <c r="F233" s="30">
        <f t="shared" si="40"/>
        <v>0.35230000000000006</v>
      </c>
      <c r="G233" s="10">
        <f t="shared" si="41"/>
        <v>0.4343276527932658</v>
      </c>
      <c r="H233" s="10">
        <f t="shared" si="42"/>
        <v>-0.36218251907616106</v>
      </c>
      <c r="I233" s="10">
        <f t="shared" si="43"/>
        <v>1.175812940346077</v>
      </c>
    </row>
    <row r="234" spans="1:9" ht="13.5">
      <c r="A234" s="10">
        <f t="shared" si="44"/>
        <v>28</v>
      </c>
      <c r="B234" s="27">
        <v>21.94</v>
      </c>
      <c r="D234" s="29">
        <v>0.5547</v>
      </c>
      <c r="E234" s="28"/>
      <c r="F234" s="30">
        <f t="shared" si="40"/>
        <v>0.44530000000000003</v>
      </c>
      <c r="G234" s="10">
        <f t="shared" si="41"/>
        <v>0.5893278519209483</v>
      </c>
      <c r="H234" s="10">
        <f t="shared" si="42"/>
        <v>-0.22964303345135711</v>
      </c>
      <c r="I234" s="10">
        <f t="shared" si="43"/>
        <v>1.3608723747893237</v>
      </c>
    </row>
    <row r="235" spans="1:9" ht="13.5">
      <c r="A235" s="10">
        <f t="shared" si="44"/>
        <v>29</v>
      </c>
      <c r="B235" s="27">
        <v>3.782</v>
      </c>
      <c r="D235" s="29">
        <v>0.5456</v>
      </c>
      <c r="E235" s="28"/>
      <c r="F235" s="30">
        <f t="shared" si="40"/>
        <v>0.4544</v>
      </c>
      <c r="G235" s="10">
        <f t="shared" si="41"/>
        <v>0.6058691724528847</v>
      </c>
      <c r="H235" s="10">
        <f t="shared" si="42"/>
        <v>-0.21762114450661235</v>
      </c>
      <c r="I235" s="10">
        <f t="shared" si="43"/>
        <v>1.6098147170851007</v>
      </c>
    </row>
    <row r="236" spans="1:9" ht="13.5">
      <c r="A236" s="10">
        <f t="shared" si="44"/>
        <v>30</v>
      </c>
      <c r="B236" s="27">
        <v>3.593</v>
      </c>
      <c r="D236" s="29">
        <v>0.5182</v>
      </c>
      <c r="E236" s="28"/>
      <c r="F236" s="30">
        <f>1-D236</f>
        <v>0.4818</v>
      </c>
      <c r="G236" s="10">
        <f>-LN(1-F236)</f>
        <v>0.6573940108541274</v>
      </c>
      <c r="H236" s="10">
        <f>LOG(G236)</f>
        <v>-0.18217425684832822</v>
      </c>
      <c r="I236" s="10">
        <f t="shared" si="43"/>
        <v>2.0402785594342276</v>
      </c>
    </row>
    <row r="237" spans="2:8" ht="12.75">
      <c r="B237" s="33">
        <f>MEDIAN(B207:B236)</f>
        <v>33.855</v>
      </c>
      <c r="D237" s="32">
        <f>MEDIAN(D207:D236)</f>
        <v>0.81185</v>
      </c>
      <c r="F237" s="32">
        <f>MEDIAN(F207:F236)</f>
        <v>0.19180000000000008</v>
      </c>
      <c r="H237" s="26">
        <f>STDEV(H208:H236)</f>
        <v>0.3455342175284654</v>
      </c>
    </row>
    <row r="238" spans="8:9" ht="12.75">
      <c r="H238" s="24">
        <v>0.3622</v>
      </c>
      <c r="I238" s="10" t="s">
        <v>4</v>
      </c>
    </row>
    <row r="239" spans="2:6" ht="12.75">
      <c r="B239" s="34">
        <f>MEDIAN(B243:B280)</f>
        <v>32.339999999999996</v>
      </c>
      <c r="D239" s="35">
        <f>MEDIAN(D243:D280)</f>
        <v>0.84015</v>
      </c>
      <c r="F239" s="35">
        <f>MEDIAN(F243:F280)</f>
        <v>0.15985</v>
      </c>
    </row>
    <row r="240" ht="12.75">
      <c r="A240" s="36" t="s">
        <v>5</v>
      </c>
    </row>
    <row r="241" ht="12.75">
      <c r="H241" s="26">
        <f>STDEV(H243:H280)</f>
        <v>0.2955328122694112</v>
      </c>
    </row>
    <row r="242" spans="1:6" ht="12.75">
      <c r="A242" s="10" t="s">
        <v>0</v>
      </c>
      <c r="D242" s="10" t="s">
        <v>1</v>
      </c>
      <c r="F242" s="10" t="s">
        <v>2</v>
      </c>
    </row>
    <row r="243" spans="1:8" ht="13.5">
      <c r="A243" s="10">
        <v>1</v>
      </c>
      <c r="B243" s="27">
        <v>22.69</v>
      </c>
      <c r="D243" s="29">
        <v>0.9614</v>
      </c>
      <c r="F243" s="30">
        <f aca="true" t="shared" si="45" ref="F243:F280">1-D243</f>
        <v>0.03859999999999997</v>
      </c>
      <c r="G243" s="10">
        <f aca="true" t="shared" si="46" ref="G243:G280">-LN(1-F243)</f>
        <v>0.0393647235222767</v>
      </c>
      <c r="H243" s="10">
        <f>LOG(G243)</f>
        <v>-1.4048927944739942</v>
      </c>
    </row>
    <row r="244" spans="1:8" ht="13.5">
      <c r="A244" s="10">
        <f>1+A243</f>
        <v>2</v>
      </c>
      <c r="B244" s="27">
        <v>24.77</v>
      </c>
      <c r="D244" s="29">
        <v>0.9614</v>
      </c>
      <c r="F244" s="30">
        <f t="shared" si="45"/>
        <v>0.03859999999999997</v>
      </c>
      <c r="G244" s="10">
        <f t="shared" si="46"/>
        <v>0.0393647235222767</v>
      </c>
      <c r="H244" s="10">
        <f aca="true" t="shared" si="47" ref="H244:H280">LOG(G244)</f>
        <v>-1.4048927944739942</v>
      </c>
    </row>
    <row r="245" spans="1:8" ht="13.5">
      <c r="A245" s="10">
        <f aca="true" t="shared" si="48" ref="A245:A280">1+A244</f>
        <v>3</v>
      </c>
      <c r="B245" s="27">
        <v>7.564</v>
      </c>
      <c r="D245" s="29">
        <v>0.9578</v>
      </c>
      <c r="F245" s="30">
        <f t="shared" si="45"/>
        <v>0.042200000000000015</v>
      </c>
      <c r="G245" s="10">
        <f t="shared" si="46"/>
        <v>0.043116291073628084</v>
      </c>
      <c r="H245" s="10">
        <f t="shared" si="47"/>
        <v>-1.365358604860635</v>
      </c>
    </row>
    <row r="246" spans="1:8" ht="13.5">
      <c r="A246" s="10">
        <f t="shared" si="48"/>
        <v>4</v>
      </c>
      <c r="B246" s="27">
        <v>43.12</v>
      </c>
      <c r="D246" s="29">
        <v>0.9578</v>
      </c>
      <c r="F246" s="30">
        <f t="shared" si="45"/>
        <v>0.042200000000000015</v>
      </c>
      <c r="G246" s="10">
        <f t="shared" si="46"/>
        <v>0.043116291073628084</v>
      </c>
      <c r="H246" s="10">
        <f t="shared" si="47"/>
        <v>-1.365358604860635</v>
      </c>
    </row>
    <row r="247" spans="1:8" ht="13.5">
      <c r="A247" s="10">
        <f t="shared" si="48"/>
        <v>5</v>
      </c>
      <c r="B247" s="27">
        <v>12.29</v>
      </c>
      <c r="D247" s="29">
        <v>0.9505</v>
      </c>
      <c r="F247" s="30">
        <f t="shared" si="45"/>
        <v>0.04949999999999999</v>
      </c>
      <c r="G247" s="10">
        <f t="shared" si="46"/>
        <v>0.05076711705365319</v>
      </c>
      <c r="H247" s="10">
        <f t="shared" si="47"/>
        <v>-1.2944174984673629</v>
      </c>
    </row>
    <row r="248" spans="1:8" ht="13.5">
      <c r="A248" s="10">
        <f t="shared" si="48"/>
        <v>6</v>
      </c>
      <c r="B248" s="27">
        <v>24.77</v>
      </c>
      <c r="D248" s="29">
        <v>0.9412999999999999</v>
      </c>
      <c r="F248" s="30">
        <f t="shared" si="45"/>
        <v>0.058700000000000085</v>
      </c>
      <c r="G248" s="10">
        <f t="shared" si="46"/>
        <v>0.060493380428962594</v>
      </c>
      <c r="H248" s="10">
        <f t="shared" si="47"/>
        <v>-1.2182921460162948</v>
      </c>
    </row>
    <row r="249" spans="1:8" ht="13.5">
      <c r="A249" s="10">
        <f t="shared" si="48"/>
        <v>7</v>
      </c>
      <c r="B249" s="27">
        <v>74.89</v>
      </c>
      <c r="D249" s="29">
        <v>0.9412999999999999</v>
      </c>
      <c r="F249" s="30">
        <f t="shared" si="45"/>
        <v>0.058700000000000085</v>
      </c>
      <c r="G249" s="10">
        <f t="shared" si="46"/>
        <v>0.060493380428962594</v>
      </c>
      <c r="H249" s="10">
        <f t="shared" si="47"/>
        <v>-1.2182921460162948</v>
      </c>
    </row>
    <row r="250" spans="1:8" ht="13.5">
      <c r="A250" s="10">
        <f t="shared" si="48"/>
        <v>8</v>
      </c>
      <c r="B250" s="27">
        <v>22.13</v>
      </c>
      <c r="D250" s="29">
        <v>0.9412999999999999</v>
      </c>
      <c r="F250" s="30">
        <f t="shared" si="45"/>
        <v>0.058700000000000085</v>
      </c>
      <c r="G250" s="10">
        <f t="shared" si="46"/>
        <v>0.060493380428962594</v>
      </c>
      <c r="H250" s="10">
        <f t="shared" si="47"/>
        <v>-1.2182921460162948</v>
      </c>
    </row>
    <row r="251" spans="1:8" ht="13.5">
      <c r="A251" s="10">
        <f t="shared" si="48"/>
        <v>9</v>
      </c>
      <c r="B251" s="27">
        <v>9.834</v>
      </c>
      <c r="D251" s="29">
        <v>0.9322</v>
      </c>
      <c r="F251" s="30">
        <f t="shared" si="45"/>
        <v>0.06779999999999997</v>
      </c>
      <c r="G251" s="10">
        <f t="shared" si="46"/>
        <v>0.07020789504349643</v>
      </c>
      <c r="H251" s="10">
        <f t="shared" si="47"/>
        <v>-1.1536140476845707</v>
      </c>
    </row>
    <row r="252" spans="1:8" ht="13.5">
      <c r="A252" s="10">
        <f t="shared" si="48"/>
        <v>10</v>
      </c>
      <c r="B252" s="27">
        <v>34.8</v>
      </c>
      <c r="D252" s="29">
        <v>0.9012</v>
      </c>
      <c r="F252" s="30">
        <f t="shared" si="45"/>
        <v>0.0988</v>
      </c>
      <c r="G252" s="10">
        <f t="shared" si="46"/>
        <v>0.10402807042404769</v>
      </c>
      <c r="H252" s="10">
        <f t="shared" si="47"/>
        <v>-0.9828494569957991</v>
      </c>
    </row>
    <row r="253" spans="1:8" ht="13.5">
      <c r="A253" s="10">
        <f t="shared" si="48"/>
        <v>11</v>
      </c>
      <c r="B253" s="27">
        <v>40.09</v>
      </c>
      <c r="D253" s="29">
        <v>0.8994</v>
      </c>
      <c r="F253" s="30">
        <f t="shared" si="45"/>
        <v>0.10060000000000002</v>
      </c>
      <c r="G253" s="10">
        <f t="shared" si="46"/>
        <v>0.10602740464553007</v>
      </c>
      <c r="H253" s="10">
        <f t="shared" si="47"/>
        <v>-0.9745818691871192</v>
      </c>
    </row>
    <row r="254" spans="1:8" ht="13.5">
      <c r="A254" s="10">
        <f t="shared" si="48"/>
        <v>12</v>
      </c>
      <c r="B254" s="27">
        <v>24.77</v>
      </c>
      <c r="D254" s="29">
        <v>0.8956999999999999</v>
      </c>
      <c r="F254" s="30">
        <f t="shared" si="45"/>
        <v>0.10430000000000006</v>
      </c>
      <c r="G254" s="10">
        <f t="shared" si="46"/>
        <v>0.11014974350098748</v>
      </c>
      <c r="H254" s="10">
        <f t="shared" si="47"/>
        <v>-0.9580165098271985</v>
      </c>
    </row>
    <row r="255" spans="1:8" ht="13.5">
      <c r="A255" s="10">
        <f t="shared" si="48"/>
        <v>13</v>
      </c>
      <c r="B255" s="27">
        <v>59.76</v>
      </c>
      <c r="D255" s="29">
        <v>0.8865999999999999</v>
      </c>
      <c r="F255" s="30">
        <f t="shared" si="45"/>
        <v>0.11340000000000006</v>
      </c>
      <c r="G255" s="10">
        <f t="shared" si="46"/>
        <v>0.12036135667118397</v>
      </c>
      <c r="H255" s="10">
        <f t="shared" si="47"/>
        <v>-0.9195129256886174</v>
      </c>
    </row>
    <row r="256" spans="1:8" ht="13.5">
      <c r="A256" s="10">
        <f t="shared" si="48"/>
        <v>14</v>
      </c>
      <c r="B256" s="27">
        <v>40.09</v>
      </c>
      <c r="D256" s="29">
        <v>0.8756999999999999</v>
      </c>
      <c r="F256" s="30">
        <f t="shared" si="45"/>
        <v>0.12430000000000008</v>
      </c>
      <c r="G256" s="10">
        <f t="shared" si="46"/>
        <v>0.1327317124539584</v>
      </c>
      <c r="H256" s="10">
        <f t="shared" si="47"/>
        <v>-0.8770253024682502</v>
      </c>
    </row>
    <row r="257" spans="1:8" ht="13.5">
      <c r="A257" s="10">
        <f t="shared" si="48"/>
        <v>15</v>
      </c>
      <c r="B257" s="27">
        <v>4.728</v>
      </c>
      <c r="D257" s="29">
        <v>0.8611</v>
      </c>
      <c r="F257" s="30">
        <f t="shared" si="45"/>
        <v>0.13890000000000002</v>
      </c>
      <c r="G257" s="10">
        <f t="shared" si="46"/>
        <v>0.14954463728001757</v>
      </c>
      <c r="H257" s="10">
        <f t="shared" si="47"/>
        <v>-0.8252291562966899</v>
      </c>
    </row>
    <row r="258" spans="1:8" ht="13.5">
      <c r="A258" s="10">
        <f t="shared" si="48"/>
        <v>16</v>
      </c>
      <c r="B258" s="27">
        <v>11.91</v>
      </c>
      <c r="D258" s="29">
        <v>0.8538</v>
      </c>
      <c r="F258" s="30">
        <f t="shared" si="45"/>
        <v>0.1462</v>
      </c>
      <c r="G258" s="10">
        <f t="shared" si="46"/>
        <v>0.15805830465827533</v>
      </c>
      <c r="H258" s="10">
        <f t="shared" si="47"/>
        <v>-0.8011826806373649</v>
      </c>
    </row>
    <row r="259" spans="1:8" ht="13.5">
      <c r="A259" s="10">
        <f t="shared" si="48"/>
        <v>17</v>
      </c>
      <c r="B259" s="27">
        <v>22.69</v>
      </c>
      <c r="D259" s="29">
        <v>0.852</v>
      </c>
      <c r="F259" s="30">
        <f t="shared" si="45"/>
        <v>0.14800000000000002</v>
      </c>
      <c r="G259" s="10">
        <f t="shared" si="46"/>
        <v>0.16016875215282134</v>
      </c>
      <c r="H259" s="10">
        <f t="shared" si="47"/>
        <v>-0.7954222079228033</v>
      </c>
    </row>
    <row r="260" spans="1:8" ht="13.5">
      <c r="A260" s="10">
        <f t="shared" si="48"/>
        <v>18</v>
      </c>
      <c r="B260" s="27">
        <v>7.754</v>
      </c>
      <c r="D260" s="29">
        <v>0.8482999999999999</v>
      </c>
      <c r="F260" s="30">
        <f t="shared" si="45"/>
        <v>0.15170000000000006</v>
      </c>
      <c r="G260" s="10">
        <f t="shared" si="46"/>
        <v>0.16452093216844804</v>
      </c>
      <c r="H260" s="10">
        <f t="shared" si="47"/>
        <v>-0.7837788384622407</v>
      </c>
    </row>
    <row r="261" spans="1:8" ht="13.5">
      <c r="A261" s="10">
        <f t="shared" si="48"/>
        <v>19</v>
      </c>
      <c r="B261" s="27">
        <v>43.68</v>
      </c>
      <c r="D261" s="29">
        <v>0.8447</v>
      </c>
      <c r="F261" s="30">
        <f t="shared" si="45"/>
        <v>0.1553</v>
      </c>
      <c r="G261" s="10">
        <f t="shared" si="46"/>
        <v>0.16877374424868608</v>
      </c>
      <c r="H261" s="10">
        <f t="shared" si="47"/>
        <v>-0.7726951146701755</v>
      </c>
    </row>
    <row r="262" spans="1:8" ht="13.5">
      <c r="A262" s="10">
        <f t="shared" si="48"/>
        <v>20</v>
      </c>
      <c r="B262" s="27">
        <v>48.98</v>
      </c>
      <c r="D262" s="29">
        <v>0.8356</v>
      </c>
      <c r="F262" s="30">
        <f t="shared" si="45"/>
        <v>0.1644</v>
      </c>
      <c r="G262" s="10">
        <f t="shared" si="46"/>
        <v>0.17960524929972635</v>
      </c>
      <c r="H262" s="10">
        <f t="shared" si="47"/>
        <v>-0.74568097441376</v>
      </c>
    </row>
    <row r="263" spans="1:8" ht="13.5">
      <c r="A263" s="10">
        <f t="shared" si="48"/>
        <v>21</v>
      </c>
      <c r="B263" s="27">
        <v>4.917</v>
      </c>
      <c r="D263" s="29">
        <v>0.8337</v>
      </c>
      <c r="F263" s="30">
        <f t="shared" si="45"/>
        <v>0.1663</v>
      </c>
      <c r="G263" s="10">
        <f t="shared" si="46"/>
        <v>0.18188165356556935</v>
      </c>
      <c r="H263" s="10">
        <f t="shared" si="47"/>
        <v>-0.7402111060881204</v>
      </c>
    </row>
    <row r="264" spans="1:8" ht="13.5">
      <c r="A264" s="10">
        <f t="shared" si="48"/>
        <v>22</v>
      </c>
      <c r="B264" s="27">
        <v>37.82</v>
      </c>
      <c r="D264" s="29">
        <v>0.8283</v>
      </c>
      <c r="F264" s="30">
        <f t="shared" si="45"/>
        <v>0.17169999999999996</v>
      </c>
      <c r="G264" s="10">
        <f t="shared" si="46"/>
        <v>0.1883798713779186</v>
      </c>
      <c r="H264" s="10">
        <f t="shared" si="47"/>
        <v>-0.7249655039662571</v>
      </c>
    </row>
    <row r="265" spans="1:8" ht="13.5">
      <c r="A265" s="10">
        <f t="shared" si="48"/>
        <v>23</v>
      </c>
      <c r="B265" s="27">
        <v>29.88</v>
      </c>
      <c r="D265" s="29">
        <v>0.8173</v>
      </c>
      <c r="F265" s="30">
        <f t="shared" si="45"/>
        <v>0.18269999999999997</v>
      </c>
      <c r="G265" s="10">
        <f t="shared" si="46"/>
        <v>0.201749054460053</v>
      </c>
      <c r="H265" s="10">
        <f t="shared" si="47"/>
        <v>-0.6951884920147825</v>
      </c>
    </row>
    <row r="266" spans="1:8" ht="13.5">
      <c r="A266" s="10">
        <f t="shared" si="48"/>
        <v>24</v>
      </c>
      <c r="B266" s="27">
        <v>49.74</v>
      </c>
      <c r="D266" s="29">
        <v>0.8155</v>
      </c>
      <c r="F266" s="30">
        <f t="shared" si="45"/>
        <v>0.1845</v>
      </c>
      <c r="G266" s="10">
        <f t="shared" si="46"/>
        <v>0.20395385692106846</v>
      </c>
      <c r="H266" s="10">
        <f t="shared" si="47"/>
        <v>-0.6904680774334326</v>
      </c>
    </row>
    <row r="267" spans="1:8" ht="13.5">
      <c r="A267" s="10">
        <f t="shared" si="48"/>
        <v>25</v>
      </c>
      <c r="B267" s="27">
        <v>45.01</v>
      </c>
      <c r="D267" s="29">
        <v>0.8119</v>
      </c>
      <c r="F267" s="30">
        <f t="shared" si="45"/>
        <v>0.18810000000000004</v>
      </c>
      <c r="G267" s="10">
        <f t="shared" si="46"/>
        <v>0.2083780991137363</v>
      </c>
      <c r="H267" s="10">
        <f t="shared" si="47"/>
        <v>-0.6811479280494297</v>
      </c>
    </row>
    <row r="268" spans="1:8" ht="13.5">
      <c r="A268" s="10">
        <f t="shared" si="48"/>
        <v>26</v>
      </c>
      <c r="B268" s="27">
        <v>27.99</v>
      </c>
      <c r="D268" s="29">
        <v>0.7863</v>
      </c>
      <c r="F268" s="30">
        <f t="shared" si="45"/>
        <v>0.2137</v>
      </c>
      <c r="G268" s="10">
        <f t="shared" si="46"/>
        <v>0.24041687998466674</v>
      </c>
      <c r="H268" s="10">
        <f t="shared" si="47"/>
        <v>-0.6190350432132504</v>
      </c>
    </row>
    <row r="269" spans="1:8" ht="13.5">
      <c r="A269" s="10">
        <f t="shared" si="48"/>
        <v>27</v>
      </c>
      <c r="B269" s="27">
        <v>56.73</v>
      </c>
      <c r="D269" s="29">
        <v>0.7845</v>
      </c>
      <c r="F269" s="30">
        <f t="shared" si="45"/>
        <v>0.21550000000000002</v>
      </c>
      <c r="G269" s="10">
        <f t="shared" si="46"/>
        <v>0.2427087068090498</v>
      </c>
      <c r="H269" s="10">
        <f t="shared" si="47"/>
        <v>-0.614914643728634</v>
      </c>
    </row>
    <row r="270" spans="1:8" ht="13.5">
      <c r="A270" s="10">
        <f t="shared" si="48"/>
        <v>28</v>
      </c>
      <c r="B270" s="27">
        <v>40.09</v>
      </c>
      <c r="D270" s="29">
        <v>0.779</v>
      </c>
      <c r="F270" s="30">
        <f t="shared" si="45"/>
        <v>0.22099999999999997</v>
      </c>
      <c r="G270" s="10">
        <f t="shared" si="46"/>
        <v>0.24974423311138877</v>
      </c>
      <c r="H270" s="10">
        <f t="shared" si="47"/>
        <v>-0.6025045313575061</v>
      </c>
    </row>
    <row r="271" spans="1:8" ht="13.5">
      <c r="A271" s="10">
        <f t="shared" si="48"/>
        <v>29</v>
      </c>
      <c r="B271" s="27">
        <v>15.7</v>
      </c>
      <c r="D271" s="29">
        <v>0.779</v>
      </c>
      <c r="F271" s="30">
        <f t="shared" si="45"/>
        <v>0.22099999999999997</v>
      </c>
      <c r="G271" s="10">
        <f t="shared" si="46"/>
        <v>0.24974423311138877</v>
      </c>
      <c r="H271" s="10">
        <f t="shared" si="47"/>
        <v>-0.6025045313575061</v>
      </c>
    </row>
    <row r="272" spans="1:8" ht="13.5">
      <c r="A272" s="10">
        <f t="shared" si="48"/>
        <v>30</v>
      </c>
      <c r="B272" s="27">
        <v>18.72</v>
      </c>
      <c r="D272" s="29">
        <v>0.7772</v>
      </c>
      <c r="F272" s="30">
        <f t="shared" si="45"/>
        <v>0.2228</v>
      </c>
      <c r="G272" s="10">
        <f t="shared" si="46"/>
        <v>0.25205756147885205</v>
      </c>
      <c r="H272" s="10">
        <f t="shared" si="47"/>
        <v>-0.59850026962324</v>
      </c>
    </row>
    <row r="273" spans="1:8" ht="13.5">
      <c r="A273" s="10">
        <f t="shared" si="48"/>
        <v>31</v>
      </c>
      <c r="B273" s="27">
        <v>34.8</v>
      </c>
      <c r="D273" s="29">
        <v>0.7736</v>
      </c>
      <c r="F273" s="30">
        <f t="shared" si="45"/>
        <v>0.22640000000000005</v>
      </c>
      <c r="G273" s="10">
        <f t="shared" si="46"/>
        <v>0.2567003348430525</v>
      </c>
      <c r="H273" s="10">
        <f t="shared" si="47"/>
        <v>-0.5905735648291598</v>
      </c>
    </row>
    <row r="274" spans="1:8" ht="13.5">
      <c r="A274" s="10">
        <f t="shared" si="48"/>
        <v>32</v>
      </c>
      <c r="B274" s="27">
        <v>52.76</v>
      </c>
      <c r="D274" s="29">
        <v>0.7663</v>
      </c>
      <c r="F274" s="30">
        <f t="shared" si="45"/>
        <v>0.23370000000000002</v>
      </c>
      <c r="G274" s="10">
        <f t="shared" si="46"/>
        <v>0.26618154100577845</v>
      </c>
      <c r="H274" s="10">
        <f t="shared" si="47"/>
        <v>-0.574822065004439</v>
      </c>
    </row>
    <row r="275" spans="1:8" ht="13.5">
      <c r="A275" s="10">
        <f t="shared" si="48"/>
        <v>33</v>
      </c>
      <c r="B275" s="27">
        <v>49.93</v>
      </c>
      <c r="D275" s="29">
        <v>0.7644</v>
      </c>
      <c r="F275" s="30">
        <f t="shared" si="45"/>
        <v>0.23560000000000003</v>
      </c>
      <c r="G275" s="10">
        <f t="shared" si="46"/>
        <v>0.2686640666160191</v>
      </c>
      <c r="H275" s="10">
        <f t="shared" si="47"/>
        <v>-0.5707904158666047</v>
      </c>
    </row>
    <row r="276" spans="1:8" ht="13.5">
      <c r="A276" s="10">
        <f t="shared" si="48"/>
        <v>34</v>
      </c>
      <c r="B276" s="27">
        <v>59.95</v>
      </c>
      <c r="D276" s="29">
        <v>0.7626000000000001</v>
      </c>
      <c r="F276" s="30">
        <f t="shared" si="45"/>
        <v>0.23739999999999994</v>
      </c>
      <c r="G276" s="10">
        <f t="shared" si="46"/>
        <v>0.27102163155867365</v>
      </c>
      <c r="H276" s="10">
        <f t="shared" si="47"/>
        <v>-0.5669960445807682</v>
      </c>
    </row>
    <row r="277" spans="1:8" ht="13.5">
      <c r="A277" s="10">
        <f t="shared" si="48"/>
        <v>35</v>
      </c>
      <c r="B277" s="27">
        <v>39.9</v>
      </c>
      <c r="D277" s="29">
        <v>0.7570999999999999</v>
      </c>
      <c r="F277" s="30">
        <f t="shared" si="45"/>
        <v>0.24290000000000012</v>
      </c>
      <c r="G277" s="10">
        <f t="shared" si="46"/>
        <v>0.2782599338728763</v>
      </c>
      <c r="H277" s="10">
        <f t="shared" si="47"/>
        <v>-0.5555493224140472</v>
      </c>
    </row>
    <row r="278" spans="1:8" ht="13.5">
      <c r="A278" s="10">
        <f t="shared" si="48"/>
        <v>36</v>
      </c>
      <c r="B278" s="27">
        <v>47.85</v>
      </c>
      <c r="D278" s="29">
        <v>0.7371</v>
      </c>
      <c r="F278" s="30">
        <f t="shared" si="45"/>
        <v>0.2629</v>
      </c>
      <c r="G278" s="10">
        <f t="shared" si="46"/>
        <v>0.30503171078689395</v>
      </c>
      <c r="H278" s="10">
        <f t="shared" si="47"/>
        <v>-0.5156550094929262</v>
      </c>
    </row>
    <row r="279" spans="1:8" ht="13.5">
      <c r="A279" s="10">
        <f t="shared" si="48"/>
        <v>37</v>
      </c>
      <c r="B279" s="27">
        <v>20.05</v>
      </c>
      <c r="D279" s="29">
        <v>0.6897</v>
      </c>
      <c r="F279" s="30">
        <f t="shared" si="45"/>
        <v>0.3103</v>
      </c>
      <c r="G279" s="10">
        <f t="shared" si="46"/>
        <v>0.3714985585448915</v>
      </c>
      <c r="H279" s="10">
        <f t="shared" si="47"/>
        <v>-0.43004286701030775</v>
      </c>
    </row>
    <row r="280" spans="1:8" ht="13.5">
      <c r="A280" s="10">
        <f t="shared" si="48"/>
        <v>38</v>
      </c>
      <c r="B280" s="27">
        <v>14.75</v>
      </c>
      <c r="D280" s="29">
        <v>0.6459</v>
      </c>
      <c r="F280" s="30">
        <f t="shared" si="45"/>
        <v>0.35409999999999997</v>
      </c>
      <c r="G280" s="10">
        <f t="shared" si="46"/>
        <v>0.43711058594370994</v>
      </c>
      <c r="H280" s="10">
        <f t="shared" si="47"/>
        <v>-0.35940867563968076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83"/>
  <sheetViews>
    <sheetView tabSelected="1" workbookViewId="0" topLeftCell="A1">
      <selection activeCell="C6" sqref="C6"/>
    </sheetView>
  </sheetViews>
  <sheetFormatPr defaultColWidth="11.00390625" defaultRowHeight="12"/>
  <sheetData>
    <row r="2" ht="12.75">
      <c r="J2" s="39" t="s">
        <v>93</v>
      </c>
    </row>
    <row r="3" spans="1:14" ht="12.75">
      <c r="A3" t="s">
        <v>88</v>
      </c>
      <c r="B3" t="s">
        <v>89</v>
      </c>
      <c r="C3" t="s">
        <v>140</v>
      </c>
      <c r="D3" t="s">
        <v>94</v>
      </c>
      <c r="E3" t="s">
        <v>220</v>
      </c>
      <c r="F3" t="s">
        <v>86</v>
      </c>
      <c r="G3" t="s">
        <v>87</v>
      </c>
      <c r="H3" t="s">
        <v>46</v>
      </c>
      <c r="I3" t="s">
        <v>92</v>
      </c>
      <c r="J3" t="s">
        <v>85</v>
      </c>
      <c r="K3" t="s">
        <v>47</v>
      </c>
      <c r="L3" t="s">
        <v>84</v>
      </c>
      <c r="M3" t="s">
        <v>90</v>
      </c>
      <c r="N3" s="46" t="s">
        <v>18</v>
      </c>
    </row>
    <row r="4" spans="1:14" ht="12.75">
      <c r="A4" s="37" t="s">
        <v>219</v>
      </c>
      <c r="B4" t="s">
        <v>83</v>
      </c>
      <c r="C4">
        <v>0.4127</v>
      </c>
      <c r="D4" s="45">
        <f>LOG(C4)</f>
        <v>-0.38436553112258404</v>
      </c>
      <c r="E4">
        <v>13</v>
      </c>
      <c r="F4">
        <f>E4+1</f>
        <v>14</v>
      </c>
      <c r="G4" s="48">
        <f aca="true" t="shared" si="0" ref="G4:G18">-10.32685591+(10.59992308*F4)</f>
        <v>138.07206721</v>
      </c>
      <c r="H4">
        <v>2</v>
      </c>
      <c r="I4">
        <v>1</v>
      </c>
      <c r="J4">
        <v>0</v>
      </c>
      <c r="K4">
        <v>0</v>
      </c>
      <c r="L4">
        <v>1</v>
      </c>
      <c r="M4">
        <v>1</v>
      </c>
      <c r="N4" s="47">
        <v>24</v>
      </c>
    </row>
    <row r="5" spans="1:14" ht="12.75">
      <c r="A5" s="37" t="s">
        <v>221</v>
      </c>
      <c r="B5" s="25" t="s">
        <v>222</v>
      </c>
      <c r="C5">
        <v>0.3701</v>
      </c>
      <c r="D5" s="45">
        <f aca="true" t="shared" si="1" ref="D5:D18">LOG(C5)</f>
        <v>-0.4316809149048882</v>
      </c>
      <c r="E5">
        <v>7</v>
      </c>
      <c r="F5">
        <f aca="true" t="shared" si="2" ref="F5:F18">E5+1</f>
        <v>8</v>
      </c>
      <c r="G5" s="48">
        <f t="shared" si="0"/>
        <v>74.47252873</v>
      </c>
      <c r="H5">
        <v>1</v>
      </c>
      <c r="I5">
        <v>1</v>
      </c>
      <c r="J5">
        <v>1</v>
      </c>
      <c r="K5">
        <v>0</v>
      </c>
      <c r="L5">
        <v>0</v>
      </c>
      <c r="M5">
        <v>1</v>
      </c>
      <c r="N5" s="47">
        <v>1.5</v>
      </c>
    </row>
    <row r="6" spans="2:14" ht="12.75">
      <c r="B6" s="25" t="s">
        <v>223</v>
      </c>
      <c r="C6">
        <v>0.3606</v>
      </c>
      <c r="D6" s="45">
        <f t="shared" si="1"/>
        <v>-0.44297427761361685</v>
      </c>
      <c r="E6">
        <v>5</v>
      </c>
      <c r="F6">
        <f t="shared" si="2"/>
        <v>6</v>
      </c>
      <c r="G6" s="48">
        <f t="shared" si="0"/>
        <v>53.27268257</v>
      </c>
      <c r="H6">
        <v>1</v>
      </c>
      <c r="I6">
        <v>0</v>
      </c>
      <c r="J6">
        <v>1</v>
      </c>
      <c r="K6">
        <v>0</v>
      </c>
      <c r="L6">
        <v>0</v>
      </c>
      <c r="M6">
        <v>1</v>
      </c>
      <c r="N6" s="47">
        <v>1.5</v>
      </c>
    </row>
    <row r="7" spans="1:14" ht="12.75">
      <c r="A7" s="37" t="s">
        <v>225</v>
      </c>
      <c r="C7">
        <v>0.0302</v>
      </c>
      <c r="D7" s="45">
        <f t="shared" si="1"/>
        <v>-1.5199930570428493</v>
      </c>
      <c r="E7">
        <v>4</v>
      </c>
      <c r="F7">
        <f t="shared" si="2"/>
        <v>5</v>
      </c>
      <c r="G7" s="48">
        <f t="shared" si="0"/>
        <v>42.67275949</v>
      </c>
      <c r="H7">
        <v>2.6</v>
      </c>
      <c r="I7">
        <v>0</v>
      </c>
      <c r="J7">
        <v>1</v>
      </c>
      <c r="K7">
        <v>0</v>
      </c>
      <c r="L7">
        <v>0</v>
      </c>
      <c r="M7">
        <v>1</v>
      </c>
      <c r="N7" s="46">
        <v>2.5</v>
      </c>
    </row>
    <row r="8" spans="3:14" ht="12.75">
      <c r="C8">
        <v>0.1035</v>
      </c>
      <c r="D8" s="45">
        <f t="shared" si="1"/>
        <v>-0.9850596502070634</v>
      </c>
      <c r="E8">
        <v>4</v>
      </c>
      <c r="F8">
        <f t="shared" si="2"/>
        <v>5</v>
      </c>
      <c r="G8" s="48">
        <f t="shared" si="0"/>
        <v>42.67275949</v>
      </c>
      <c r="H8">
        <v>2.6</v>
      </c>
      <c r="I8">
        <v>0</v>
      </c>
      <c r="J8">
        <v>0</v>
      </c>
      <c r="K8">
        <v>0</v>
      </c>
      <c r="L8">
        <v>1</v>
      </c>
      <c r="M8">
        <v>1</v>
      </c>
      <c r="N8" s="47">
        <v>24</v>
      </c>
    </row>
    <row r="9" spans="1:14" ht="12.75">
      <c r="A9" s="37" t="s">
        <v>226</v>
      </c>
      <c r="C9">
        <v>0.2847</v>
      </c>
      <c r="D9" s="45">
        <f t="shared" si="1"/>
        <v>-0.5456125328530448</v>
      </c>
      <c r="E9">
        <v>5</v>
      </c>
      <c r="F9">
        <f t="shared" si="2"/>
        <v>6</v>
      </c>
      <c r="G9" s="48">
        <f t="shared" si="0"/>
        <v>53.27268257</v>
      </c>
      <c r="H9">
        <v>2</v>
      </c>
      <c r="I9">
        <v>0</v>
      </c>
      <c r="J9">
        <v>0</v>
      </c>
      <c r="K9">
        <v>1</v>
      </c>
      <c r="L9">
        <v>0</v>
      </c>
      <c r="M9">
        <v>1</v>
      </c>
      <c r="N9" s="46">
        <v>10</v>
      </c>
    </row>
    <row r="10" spans="3:14" ht="12.75">
      <c r="C10">
        <v>0.2367</v>
      </c>
      <c r="D10" s="45">
        <f t="shared" si="1"/>
        <v>-0.6258017420709173</v>
      </c>
      <c r="E10">
        <v>21</v>
      </c>
      <c r="F10">
        <f t="shared" si="2"/>
        <v>22</v>
      </c>
      <c r="G10" s="48">
        <f t="shared" si="0"/>
        <v>222.87145185</v>
      </c>
      <c r="H10">
        <v>3.5</v>
      </c>
      <c r="I10">
        <v>0</v>
      </c>
      <c r="J10">
        <v>0</v>
      </c>
      <c r="K10">
        <v>1</v>
      </c>
      <c r="L10">
        <v>0</v>
      </c>
      <c r="M10">
        <v>0</v>
      </c>
      <c r="N10" s="47">
        <v>10</v>
      </c>
    </row>
    <row r="11" spans="3:14" ht="12.75">
      <c r="C11">
        <v>0.1558</v>
      </c>
      <c r="D11" s="45">
        <f t="shared" si="1"/>
        <v>-0.8074325466634544</v>
      </c>
      <c r="E11">
        <v>19</v>
      </c>
      <c r="F11">
        <f t="shared" si="2"/>
        <v>20</v>
      </c>
      <c r="G11" s="48">
        <f t="shared" si="0"/>
        <v>201.67160568999998</v>
      </c>
      <c r="H11">
        <v>4.5</v>
      </c>
      <c r="I11">
        <v>0</v>
      </c>
      <c r="J11">
        <v>0</v>
      </c>
      <c r="K11">
        <v>1</v>
      </c>
      <c r="L11">
        <v>0</v>
      </c>
      <c r="M11">
        <v>0</v>
      </c>
      <c r="N11" s="47">
        <v>10</v>
      </c>
    </row>
    <row r="12" spans="3:14" ht="12.75">
      <c r="C12">
        <v>0.1847</v>
      </c>
      <c r="D12" s="45">
        <f t="shared" si="1"/>
        <v>-0.7335331045597586</v>
      </c>
      <c r="E12">
        <v>21</v>
      </c>
      <c r="F12">
        <f t="shared" si="2"/>
        <v>22</v>
      </c>
      <c r="G12" s="48">
        <f t="shared" si="0"/>
        <v>222.87145185</v>
      </c>
      <c r="H12">
        <v>5.5</v>
      </c>
      <c r="I12">
        <v>0</v>
      </c>
      <c r="J12">
        <v>0</v>
      </c>
      <c r="K12">
        <v>1</v>
      </c>
      <c r="L12">
        <v>0</v>
      </c>
      <c r="M12">
        <v>0</v>
      </c>
      <c r="N12" s="47">
        <v>10</v>
      </c>
    </row>
    <row r="13" spans="3:14" ht="12.75">
      <c r="C13">
        <v>0.1947</v>
      </c>
      <c r="D13" s="45">
        <f t="shared" si="1"/>
        <v>-0.7106340484799682</v>
      </c>
      <c r="E13">
        <v>5</v>
      </c>
      <c r="F13">
        <f t="shared" si="2"/>
        <v>6</v>
      </c>
      <c r="G13" s="48">
        <f t="shared" si="0"/>
        <v>53.27268257</v>
      </c>
      <c r="H13">
        <v>2</v>
      </c>
      <c r="I13">
        <v>0</v>
      </c>
      <c r="J13">
        <v>0</v>
      </c>
      <c r="K13">
        <v>0</v>
      </c>
      <c r="L13">
        <v>1</v>
      </c>
      <c r="M13">
        <v>1</v>
      </c>
      <c r="N13" s="47">
        <v>24</v>
      </c>
    </row>
    <row r="14" spans="3:14" ht="12.75">
      <c r="C14">
        <v>0.2042</v>
      </c>
      <c r="D14" s="45">
        <f t="shared" si="1"/>
        <v>-0.6899442622491087</v>
      </c>
      <c r="E14">
        <v>21</v>
      </c>
      <c r="F14">
        <f t="shared" si="2"/>
        <v>22</v>
      </c>
      <c r="G14" s="48">
        <f t="shared" si="0"/>
        <v>222.87145185</v>
      </c>
      <c r="H14">
        <v>3.5</v>
      </c>
      <c r="I14">
        <v>0</v>
      </c>
      <c r="J14">
        <v>0</v>
      </c>
      <c r="K14">
        <v>0</v>
      </c>
      <c r="L14">
        <v>1</v>
      </c>
      <c r="M14">
        <v>0</v>
      </c>
      <c r="N14" s="47">
        <v>24</v>
      </c>
    </row>
    <row r="15" spans="3:14" ht="12.75">
      <c r="C15">
        <v>0.1803</v>
      </c>
      <c r="D15" s="45">
        <f t="shared" si="1"/>
        <v>-0.7440042732775981</v>
      </c>
      <c r="E15">
        <v>18</v>
      </c>
      <c r="F15">
        <f t="shared" si="2"/>
        <v>19</v>
      </c>
      <c r="G15" s="48">
        <f t="shared" si="0"/>
        <v>191.07168260999998</v>
      </c>
      <c r="H15">
        <v>4.5</v>
      </c>
      <c r="I15">
        <v>0</v>
      </c>
      <c r="J15">
        <v>0</v>
      </c>
      <c r="K15">
        <v>0</v>
      </c>
      <c r="L15">
        <v>1</v>
      </c>
      <c r="M15">
        <v>0</v>
      </c>
      <c r="N15" s="47">
        <v>24</v>
      </c>
    </row>
    <row r="16" spans="3:14" ht="12.75">
      <c r="C16">
        <v>0.1414</v>
      </c>
      <c r="D16" s="45">
        <f t="shared" si="1"/>
        <v>-0.8495505905391194</v>
      </c>
      <c r="E16">
        <v>20</v>
      </c>
      <c r="F16">
        <f t="shared" si="2"/>
        <v>21</v>
      </c>
      <c r="G16" s="48">
        <f t="shared" si="0"/>
        <v>212.27152877</v>
      </c>
      <c r="H16">
        <v>5.5</v>
      </c>
      <c r="I16">
        <v>0</v>
      </c>
      <c r="J16">
        <v>0</v>
      </c>
      <c r="K16">
        <v>0</v>
      </c>
      <c r="L16">
        <v>1</v>
      </c>
      <c r="M16">
        <v>0</v>
      </c>
      <c r="N16" s="47">
        <v>24</v>
      </c>
    </row>
    <row r="17" spans="1:14" ht="12.75">
      <c r="A17" s="37" t="s">
        <v>6</v>
      </c>
      <c r="B17" s="25" t="s">
        <v>91</v>
      </c>
      <c r="C17">
        <v>0.36</v>
      </c>
      <c r="D17" s="45">
        <f t="shared" si="1"/>
        <v>-0.44369749923271273</v>
      </c>
      <c r="E17">
        <v>29</v>
      </c>
      <c r="F17">
        <f t="shared" si="2"/>
        <v>30</v>
      </c>
      <c r="G17" s="48">
        <f t="shared" si="0"/>
        <v>307.67083649</v>
      </c>
      <c r="H17" s="25" t="str">
        <f>"."</f>
        <v>.</v>
      </c>
      <c r="I17">
        <v>1</v>
      </c>
      <c r="J17">
        <v>1</v>
      </c>
      <c r="K17">
        <v>0</v>
      </c>
      <c r="L17">
        <v>0</v>
      </c>
      <c r="M17" s="25" t="str">
        <f>"."</f>
        <v>.</v>
      </c>
      <c r="N17" s="47">
        <v>1</v>
      </c>
    </row>
    <row r="18" spans="2:35" ht="12.75">
      <c r="B18" s="25" t="s">
        <v>8</v>
      </c>
      <c r="C18">
        <v>0.2955</v>
      </c>
      <c r="D18" s="45">
        <f t="shared" si="1"/>
        <v>-0.5294425147827259</v>
      </c>
      <c r="E18">
        <v>37</v>
      </c>
      <c r="F18">
        <f t="shared" si="2"/>
        <v>38</v>
      </c>
      <c r="G18" s="48">
        <f t="shared" si="0"/>
        <v>392.47022112999997</v>
      </c>
      <c r="H18" s="25" t="str">
        <f>"."</f>
        <v>.</v>
      </c>
      <c r="I18">
        <v>1</v>
      </c>
      <c r="J18">
        <v>1</v>
      </c>
      <c r="K18">
        <v>0</v>
      </c>
      <c r="L18">
        <v>0</v>
      </c>
      <c r="M18" s="25" t="str">
        <f>"."</f>
        <v>.</v>
      </c>
      <c r="N18" s="47">
        <v>1</v>
      </c>
      <c r="AH18" t="s">
        <v>80</v>
      </c>
      <c r="AI18" t="s">
        <v>81</v>
      </c>
    </row>
    <row r="19" spans="2:35" ht="12.75">
      <c r="B19" s="25"/>
      <c r="D19" s="45"/>
      <c r="AC19" t="s">
        <v>79</v>
      </c>
      <c r="AH19">
        <f>AE38</f>
        <v>-0.750242</v>
      </c>
      <c r="AI19">
        <f>10^AH19</f>
        <v>0.17772887832679524</v>
      </c>
    </row>
    <row r="20" spans="2:35" ht="12.75">
      <c r="B20" s="25"/>
      <c r="D20" s="45"/>
      <c r="AC20" t="s">
        <v>82</v>
      </c>
      <c r="AH20">
        <f>AE38+AE39</f>
        <v>-0.4706027</v>
      </c>
      <c r="AI20">
        <f>10^AH20</f>
        <v>0.3383742451893951</v>
      </c>
    </row>
    <row r="26" ht="12.75">
      <c r="A26" t="s">
        <v>48</v>
      </c>
    </row>
    <row r="28" spans="1:30" ht="12.75">
      <c r="A28" t="s">
        <v>49</v>
      </c>
      <c r="B28" t="s">
        <v>94</v>
      </c>
      <c r="H28" t="s">
        <v>49</v>
      </c>
      <c r="I28" t="s">
        <v>94</v>
      </c>
      <c r="O28" t="s">
        <v>49</v>
      </c>
      <c r="P28" t="s">
        <v>94</v>
      </c>
      <c r="V28" t="s">
        <v>49</v>
      </c>
      <c r="W28" t="s">
        <v>94</v>
      </c>
      <c r="AC28" t="s">
        <v>49</v>
      </c>
      <c r="AD28" t="s">
        <v>94</v>
      </c>
    </row>
    <row r="29" spans="1:29" ht="12.75">
      <c r="A29" t="s">
        <v>50</v>
      </c>
      <c r="H29" t="s">
        <v>50</v>
      </c>
      <c r="O29" t="s">
        <v>50</v>
      </c>
      <c r="V29" t="s">
        <v>50</v>
      </c>
      <c r="AC29" t="s">
        <v>50</v>
      </c>
    </row>
    <row r="30" spans="1:30" ht="12.75">
      <c r="A30" t="s">
        <v>51</v>
      </c>
      <c r="B30">
        <v>0.600295</v>
      </c>
      <c r="H30" t="s">
        <v>51</v>
      </c>
      <c r="I30">
        <v>0.415735</v>
      </c>
      <c r="O30" t="s">
        <v>51</v>
      </c>
      <c r="P30">
        <v>0.516931</v>
      </c>
      <c r="V30" t="s">
        <v>51</v>
      </c>
      <c r="W30">
        <v>0.561036</v>
      </c>
      <c r="AC30" t="s">
        <v>51</v>
      </c>
      <c r="AD30">
        <v>0.498843</v>
      </c>
    </row>
    <row r="31" spans="1:30" ht="12.75">
      <c r="A31" t="s">
        <v>52</v>
      </c>
      <c r="B31" s="43">
        <v>0.314791</v>
      </c>
      <c r="H31" t="s">
        <v>52</v>
      </c>
      <c r="I31">
        <v>0.123602</v>
      </c>
      <c r="O31" t="s">
        <v>52</v>
      </c>
      <c r="P31">
        <v>0.275396</v>
      </c>
      <c r="V31" t="s">
        <v>52</v>
      </c>
      <c r="W31">
        <v>0.441319</v>
      </c>
      <c r="AC31" t="s">
        <v>52</v>
      </c>
      <c r="AD31">
        <v>0.460292</v>
      </c>
    </row>
    <row r="32" spans="1:30" ht="12.75">
      <c r="A32" t="s">
        <v>53</v>
      </c>
      <c r="B32" s="43">
        <v>1.925388</v>
      </c>
      <c r="H32" t="s">
        <v>53</v>
      </c>
      <c r="I32">
        <v>2.177497</v>
      </c>
      <c r="O32" t="s">
        <v>53</v>
      </c>
      <c r="P32">
        <v>1.979963</v>
      </c>
      <c r="V32" t="s">
        <v>53</v>
      </c>
      <c r="W32">
        <v>1.888465</v>
      </c>
      <c r="AC32" t="s">
        <v>53</v>
      </c>
      <c r="AD32">
        <v>1.856121</v>
      </c>
    </row>
    <row r="33" spans="1:31" ht="12.75">
      <c r="A33" t="s">
        <v>54</v>
      </c>
      <c r="B33" s="37">
        <v>-0.70736</v>
      </c>
      <c r="H33" t="s">
        <v>54</v>
      </c>
      <c r="I33">
        <v>-0.70736</v>
      </c>
      <c r="O33" t="s">
        <v>54</v>
      </c>
      <c r="P33">
        <v>-0.70736</v>
      </c>
      <c r="V33" t="s">
        <v>54</v>
      </c>
      <c r="W33">
        <v>-0.64528</v>
      </c>
      <c r="AC33" t="s">
        <v>54</v>
      </c>
      <c r="AD33">
        <v>-0.64528</v>
      </c>
      <c r="AE33">
        <f>10^AD33</f>
        <v>0.22631847080203218</v>
      </c>
    </row>
    <row r="34" spans="1:30" ht="12.75">
      <c r="A34" t="s">
        <v>55</v>
      </c>
      <c r="B34" s="37">
        <v>1731.337</v>
      </c>
      <c r="H34" t="s">
        <v>55</v>
      </c>
      <c r="I34">
        <v>1731.337</v>
      </c>
      <c r="O34" t="s">
        <v>55</v>
      </c>
      <c r="P34">
        <v>1731.337</v>
      </c>
      <c r="V34" t="s">
        <v>55</v>
      </c>
      <c r="W34">
        <v>2431.478</v>
      </c>
      <c r="AC34" t="s">
        <v>55</v>
      </c>
      <c r="AD34">
        <v>2431.478</v>
      </c>
    </row>
    <row r="35" spans="2:8" ht="12.75">
      <c r="B35" s="37"/>
      <c r="H35" s="25"/>
    </row>
    <row r="36" spans="1:29" ht="12.75">
      <c r="A36" t="s">
        <v>56</v>
      </c>
      <c r="B36" s="37"/>
      <c r="H36" t="s">
        <v>56</v>
      </c>
      <c r="O36" t="s">
        <v>56</v>
      </c>
      <c r="V36" t="s">
        <v>56</v>
      </c>
      <c r="AC36" t="s">
        <v>56</v>
      </c>
    </row>
    <row r="37" spans="1:34" ht="12.75">
      <c r="A37" t="s">
        <v>57</v>
      </c>
      <c r="B37" s="37"/>
      <c r="C37" t="s">
        <v>58</v>
      </c>
      <c r="D37" t="s">
        <v>59</v>
      </c>
      <c r="E37" t="s">
        <v>60</v>
      </c>
      <c r="F37" t="s">
        <v>61</v>
      </c>
      <c r="H37" t="s">
        <v>57</v>
      </c>
      <c r="J37" t="s">
        <v>58</v>
      </c>
      <c r="K37" t="s">
        <v>59</v>
      </c>
      <c r="L37" t="s">
        <v>60</v>
      </c>
      <c r="M37" t="s">
        <v>61</v>
      </c>
      <c r="O37" t="s">
        <v>57</v>
      </c>
      <c r="Q37" t="s">
        <v>58</v>
      </c>
      <c r="R37" t="s">
        <v>59</v>
      </c>
      <c r="S37" t="s">
        <v>60</v>
      </c>
      <c r="T37" t="s">
        <v>61</v>
      </c>
      <c r="V37" t="s">
        <v>57</v>
      </c>
      <c r="X37" t="s">
        <v>58</v>
      </c>
      <c r="Y37" t="s">
        <v>59</v>
      </c>
      <c r="Z37" t="s">
        <v>60</v>
      </c>
      <c r="AA37" t="s">
        <v>61</v>
      </c>
      <c r="AC37" t="s">
        <v>57</v>
      </c>
      <c r="AE37" t="s">
        <v>58</v>
      </c>
      <c r="AF37" t="s">
        <v>59</v>
      </c>
      <c r="AG37" t="s">
        <v>60</v>
      </c>
      <c r="AH37" t="s">
        <v>61</v>
      </c>
    </row>
    <row r="38" spans="1:34" ht="12.75">
      <c r="A38" t="s">
        <v>62</v>
      </c>
      <c r="B38" s="37"/>
      <c r="C38">
        <v>-0.463369</v>
      </c>
      <c r="D38">
        <v>0.307025</v>
      </c>
      <c r="E38">
        <v>-1.51</v>
      </c>
      <c r="F38">
        <v>0.175</v>
      </c>
      <c r="H38" t="s">
        <v>62</v>
      </c>
      <c r="J38">
        <v>-0.887344</v>
      </c>
      <c r="K38">
        <v>0.222339</v>
      </c>
      <c r="L38">
        <v>-3.99</v>
      </c>
      <c r="M38">
        <v>0.004</v>
      </c>
      <c r="O38" t="s">
        <v>62</v>
      </c>
      <c r="Q38">
        <v>-0.753884</v>
      </c>
      <c r="R38">
        <v>0.196343</v>
      </c>
      <c r="S38">
        <v>-3.84</v>
      </c>
      <c r="T38">
        <v>0.0049</v>
      </c>
      <c r="V38" t="s">
        <v>62</v>
      </c>
      <c r="X38">
        <v>-0.896227</v>
      </c>
      <c r="Y38">
        <v>0.134626</v>
      </c>
      <c r="Z38">
        <v>-6.66</v>
      </c>
      <c r="AA38" t="s">
        <v>78</v>
      </c>
      <c r="AC38" t="s">
        <v>62</v>
      </c>
      <c r="AE38">
        <v>-0.750242</v>
      </c>
      <c r="AF38">
        <v>0.047627</v>
      </c>
      <c r="AG38">
        <v>-15.75</v>
      </c>
      <c r="AH38" t="s">
        <v>78</v>
      </c>
    </row>
    <row r="39" spans="1:34" ht="12.75">
      <c r="A39" s="49" t="s">
        <v>46</v>
      </c>
      <c r="B39" s="37"/>
      <c r="C39" s="49">
        <v>-0.111725</v>
      </c>
      <c r="D39">
        <v>0.062144</v>
      </c>
      <c r="E39">
        <v>-1.8</v>
      </c>
      <c r="F39">
        <v>0.1153</v>
      </c>
      <c r="H39" t="s">
        <v>92</v>
      </c>
      <c r="J39">
        <v>0.4144797</v>
      </c>
      <c r="K39">
        <v>0.20591</v>
      </c>
      <c r="L39">
        <v>2.01</v>
      </c>
      <c r="M39">
        <v>0.0789</v>
      </c>
      <c r="O39" t="s">
        <v>46</v>
      </c>
      <c r="Q39">
        <v>-0.061567</v>
      </c>
      <c r="R39">
        <v>0.047557</v>
      </c>
      <c r="S39">
        <v>-1.29</v>
      </c>
      <c r="T39">
        <v>0.2316</v>
      </c>
      <c r="U39" s="49" t="s">
        <v>77</v>
      </c>
      <c r="V39" t="s">
        <v>92</v>
      </c>
      <c r="X39">
        <v>0.4070663</v>
      </c>
      <c r="Y39">
        <v>0.133109</v>
      </c>
      <c r="Z39">
        <v>3.06</v>
      </c>
      <c r="AA39">
        <v>0.0109</v>
      </c>
      <c r="AC39" t="s">
        <v>92</v>
      </c>
      <c r="AE39">
        <v>0.2796393</v>
      </c>
      <c r="AF39">
        <v>0.077738</v>
      </c>
      <c r="AG39">
        <v>3.6</v>
      </c>
      <c r="AH39">
        <v>0.0032</v>
      </c>
    </row>
    <row r="40" spans="1:27" ht="12.75">
      <c r="A40" t="s">
        <v>92</v>
      </c>
      <c r="C40">
        <v>0.3724229</v>
      </c>
      <c r="D40">
        <v>0.183567</v>
      </c>
      <c r="E40">
        <v>2.03</v>
      </c>
      <c r="F40">
        <v>0.0821</v>
      </c>
      <c r="H40" t="s">
        <v>47</v>
      </c>
      <c r="J40">
        <v>0.1812324</v>
      </c>
      <c r="K40">
        <v>0.230289</v>
      </c>
      <c r="L40">
        <v>0.79</v>
      </c>
      <c r="M40">
        <v>0.454</v>
      </c>
      <c r="O40" t="s">
        <v>92</v>
      </c>
      <c r="Q40">
        <v>0.3029155</v>
      </c>
      <c r="R40">
        <v>0.179261</v>
      </c>
      <c r="S40">
        <v>1.69</v>
      </c>
      <c r="T40">
        <v>0.1295</v>
      </c>
      <c r="V40" t="s">
        <v>47</v>
      </c>
      <c r="X40">
        <v>0.1899998</v>
      </c>
      <c r="Y40">
        <v>0.152361</v>
      </c>
      <c r="Z40">
        <v>1.25</v>
      </c>
      <c r="AA40">
        <v>0.2383</v>
      </c>
    </row>
    <row r="41" spans="1:29" ht="12.75">
      <c r="A41" t="s">
        <v>47</v>
      </c>
      <c r="C41">
        <v>0.2577228</v>
      </c>
      <c r="D41">
        <v>0.208024</v>
      </c>
      <c r="E41">
        <v>1.24</v>
      </c>
      <c r="F41">
        <v>0.2553</v>
      </c>
      <c r="H41" t="s">
        <v>84</v>
      </c>
      <c r="J41">
        <v>0.1130173</v>
      </c>
      <c r="K41">
        <v>0.211929</v>
      </c>
      <c r="L41">
        <v>0.53</v>
      </c>
      <c r="M41">
        <v>0.6083</v>
      </c>
      <c r="O41" t="s">
        <v>47</v>
      </c>
      <c r="Q41">
        <v>0.3130065</v>
      </c>
      <c r="R41">
        <v>0.208682</v>
      </c>
      <c r="S41">
        <v>1.5</v>
      </c>
      <c r="T41">
        <v>0.172</v>
      </c>
      <c r="V41" t="s">
        <v>84</v>
      </c>
      <c r="X41">
        <v>0.1226753</v>
      </c>
      <c r="Y41">
        <v>0.132912</v>
      </c>
      <c r="Z41">
        <v>0.92</v>
      </c>
      <c r="AA41">
        <v>0.3758</v>
      </c>
      <c r="AC41" t="s">
        <v>63</v>
      </c>
    </row>
    <row r="42" spans="1:34" ht="12.75">
      <c r="A42" t="s">
        <v>84</v>
      </c>
      <c r="C42">
        <v>0.1922867</v>
      </c>
      <c r="D42">
        <v>0.19251</v>
      </c>
      <c r="E42">
        <v>1</v>
      </c>
      <c r="F42">
        <v>0.3511</v>
      </c>
      <c r="H42" s="49" t="s">
        <v>90</v>
      </c>
      <c r="I42" s="49"/>
      <c r="J42" s="49">
        <v>-0.001527</v>
      </c>
      <c r="K42" s="49">
        <v>0.174578</v>
      </c>
      <c r="L42" s="49">
        <v>-0.01</v>
      </c>
      <c r="M42" s="49">
        <v>0.9932</v>
      </c>
      <c r="N42" t="s">
        <v>76</v>
      </c>
      <c r="O42" t="s">
        <v>84</v>
      </c>
      <c r="Q42">
        <v>0.233303</v>
      </c>
      <c r="R42">
        <v>0.194864</v>
      </c>
      <c r="S42">
        <v>1.2</v>
      </c>
      <c r="T42">
        <v>0.2655</v>
      </c>
      <c r="U42" s="49"/>
      <c r="AC42" t="s">
        <v>64</v>
      </c>
      <c r="AD42" t="s">
        <v>65</v>
      </c>
      <c r="AE42" t="s">
        <v>66</v>
      </c>
      <c r="AF42" t="s">
        <v>67</v>
      </c>
      <c r="AG42" t="s">
        <v>68</v>
      </c>
      <c r="AH42" t="s">
        <v>69</v>
      </c>
    </row>
    <row r="43" spans="1:34" ht="12.75">
      <c r="A43" s="49" t="s">
        <v>90</v>
      </c>
      <c r="B43" s="49"/>
      <c r="C43" s="49">
        <v>-0.250637</v>
      </c>
      <c r="D43">
        <v>0.207432</v>
      </c>
      <c r="E43">
        <v>-1.21</v>
      </c>
      <c r="F43">
        <v>0.2662</v>
      </c>
      <c r="V43" t="s">
        <v>63</v>
      </c>
      <c r="AC43" t="s">
        <v>92</v>
      </c>
      <c r="AD43">
        <v>1</v>
      </c>
      <c r="AE43">
        <v>1</v>
      </c>
      <c r="AF43">
        <v>44.580585</v>
      </c>
      <c r="AG43">
        <v>12.94</v>
      </c>
      <c r="AH43">
        <v>0.0032</v>
      </c>
    </row>
    <row r="44" spans="8:27" ht="12.75">
      <c r="H44" t="s">
        <v>63</v>
      </c>
      <c r="O44" t="s">
        <v>63</v>
      </c>
      <c r="V44" t="s">
        <v>64</v>
      </c>
      <c r="W44" t="s">
        <v>65</v>
      </c>
      <c r="X44" t="s">
        <v>66</v>
      </c>
      <c r="Y44" t="s">
        <v>67</v>
      </c>
      <c r="Z44" t="s">
        <v>68</v>
      </c>
      <c r="AA44" t="s">
        <v>69</v>
      </c>
    </row>
    <row r="45" spans="1:29" ht="12.75">
      <c r="A45" t="s">
        <v>63</v>
      </c>
      <c r="H45" t="s">
        <v>64</v>
      </c>
      <c r="I45" t="s">
        <v>65</v>
      </c>
      <c r="J45" t="s">
        <v>66</v>
      </c>
      <c r="K45" t="s">
        <v>67</v>
      </c>
      <c r="L45" t="s">
        <v>68</v>
      </c>
      <c r="M45" t="s">
        <v>69</v>
      </c>
      <c r="O45" t="s">
        <v>64</v>
      </c>
      <c r="P45" t="s">
        <v>65</v>
      </c>
      <c r="Q45" t="s">
        <v>66</v>
      </c>
      <c r="R45" t="s">
        <v>67</v>
      </c>
      <c r="S45" t="s">
        <v>68</v>
      </c>
      <c r="T45" t="s">
        <v>69</v>
      </c>
      <c r="V45" t="s">
        <v>92</v>
      </c>
      <c r="W45">
        <v>1</v>
      </c>
      <c r="X45">
        <v>1</v>
      </c>
      <c r="Y45">
        <v>33.353007</v>
      </c>
      <c r="Z45">
        <v>9.3523</v>
      </c>
      <c r="AA45">
        <v>0.0109</v>
      </c>
      <c r="AC45" t="s">
        <v>70</v>
      </c>
    </row>
    <row r="46" spans="1:29" ht="12.75">
      <c r="A46" t="s">
        <v>64</v>
      </c>
      <c r="B46" t="s">
        <v>65</v>
      </c>
      <c r="C46" t="s">
        <v>66</v>
      </c>
      <c r="D46" t="s">
        <v>67</v>
      </c>
      <c r="E46" t="s">
        <v>68</v>
      </c>
      <c r="F46" t="s">
        <v>69</v>
      </c>
      <c r="H46" t="s">
        <v>92</v>
      </c>
      <c r="I46">
        <v>1</v>
      </c>
      <c r="J46">
        <v>1</v>
      </c>
      <c r="K46">
        <v>19.211713</v>
      </c>
      <c r="L46">
        <v>4.0518</v>
      </c>
      <c r="M46">
        <v>0.0789</v>
      </c>
      <c r="O46" t="s">
        <v>46</v>
      </c>
      <c r="P46">
        <v>1</v>
      </c>
      <c r="Q46">
        <v>1</v>
      </c>
      <c r="R46">
        <v>6.570263</v>
      </c>
      <c r="S46">
        <v>1.676</v>
      </c>
      <c r="T46">
        <v>0.2316</v>
      </c>
      <c r="V46" t="s">
        <v>47</v>
      </c>
      <c r="W46">
        <v>1</v>
      </c>
      <c r="X46">
        <v>1</v>
      </c>
      <c r="Y46">
        <v>5.545928</v>
      </c>
      <c r="Z46">
        <v>1.5551</v>
      </c>
      <c r="AA46">
        <v>0.2383</v>
      </c>
      <c r="AC46" t="s">
        <v>71</v>
      </c>
    </row>
    <row r="47" spans="1:33" ht="12.75">
      <c r="A47" t="s">
        <v>46</v>
      </c>
      <c r="B47">
        <v>1</v>
      </c>
      <c r="C47">
        <v>1</v>
      </c>
      <c r="D47">
        <v>11.982108</v>
      </c>
      <c r="E47">
        <v>3.2322</v>
      </c>
      <c r="F47">
        <v>0.1153</v>
      </c>
      <c r="H47" t="s">
        <v>47</v>
      </c>
      <c r="I47">
        <v>1</v>
      </c>
      <c r="J47">
        <v>1</v>
      </c>
      <c r="K47">
        <v>2.936571</v>
      </c>
      <c r="L47">
        <v>0.6193</v>
      </c>
      <c r="M47">
        <v>0.454</v>
      </c>
      <c r="O47" t="s">
        <v>92</v>
      </c>
      <c r="P47">
        <v>1</v>
      </c>
      <c r="Q47">
        <v>1</v>
      </c>
      <c r="R47">
        <v>11.193968</v>
      </c>
      <c r="S47">
        <v>2.8554</v>
      </c>
      <c r="T47">
        <v>0.1295</v>
      </c>
      <c r="V47" t="s">
        <v>84</v>
      </c>
      <c r="W47">
        <v>1</v>
      </c>
      <c r="X47">
        <v>1</v>
      </c>
      <c r="Y47">
        <v>3.0381</v>
      </c>
      <c r="Z47">
        <v>0.8519</v>
      </c>
      <c r="AA47">
        <v>0.3758</v>
      </c>
      <c r="AC47" t="s">
        <v>64</v>
      </c>
      <c r="AD47" t="s">
        <v>66</v>
      </c>
      <c r="AE47" t="s">
        <v>67</v>
      </c>
      <c r="AF47" t="s">
        <v>72</v>
      </c>
      <c r="AG47" t="s">
        <v>68</v>
      </c>
    </row>
    <row r="48" spans="1:33" ht="12.75">
      <c r="A48" t="s">
        <v>92</v>
      </c>
      <c r="B48">
        <v>1</v>
      </c>
      <c r="C48">
        <v>1</v>
      </c>
      <c r="D48">
        <v>15.258834</v>
      </c>
      <c r="E48">
        <v>4.1161</v>
      </c>
      <c r="F48">
        <v>0.0821</v>
      </c>
      <c r="H48" t="s">
        <v>84</v>
      </c>
      <c r="I48">
        <v>1</v>
      </c>
      <c r="J48">
        <v>1</v>
      </c>
      <c r="K48">
        <v>1.348412</v>
      </c>
      <c r="L48">
        <v>0.2844</v>
      </c>
      <c r="M48">
        <v>0.6083</v>
      </c>
      <c r="O48" t="s">
        <v>47</v>
      </c>
      <c r="P48">
        <v>1</v>
      </c>
      <c r="Q48">
        <v>1</v>
      </c>
      <c r="R48">
        <v>8.819678</v>
      </c>
      <c r="S48">
        <v>2.2498</v>
      </c>
      <c r="T48">
        <v>0.172</v>
      </c>
      <c r="AC48" t="s">
        <v>73</v>
      </c>
      <c r="AD48">
        <v>1</v>
      </c>
      <c r="AE48">
        <v>44.580585</v>
      </c>
      <c r="AF48">
        <v>44.5806</v>
      </c>
      <c r="AG48">
        <v>12.94</v>
      </c>
    </row>
    <row r="49" spans="1:33" ht="12.75">
      <c r="A49" t="s">
        <v>47</v>
      </c>
      <c r="B49">
        <v>1</v>
      </c>
      <c r="C49">
        <v>1</v>
      </c>
      <c r="D49">
        <v>5.690058</v>
      </c>
      <c r="E49">
        <v>1.5349</v>
      </c>
      <c r="F49">
        <v>0.2553</v>
      </c>
      <c r="H49" t="s">
        <v>90</v>
      </c>
      <c r="I49">
        <v>1</v>
      </c>
      <c r="J49">
        <v>1</v>
      </c>
      <c r="K49">
        <v>0.000363</v>
      </c>
      <c r="L49">
        <v>0.0001</v>
      </c>
      <c r="M49">
        <v>0.9932</v>
      </c>
      <c r="O49" t="s">
        <v>84</v>
      </c>
      <c r="P49">
        <v>1</v>
      </c>
      <c r="Q49">
        <v>1</v>
      </c>
      <c r="R49">
        <v>5.619401</v>
      </c>
      <c r="S49">
        <v>1.4334</v>
      </c>
      <c r="T49">
        <v>0.2655</v>
      </c>
      <c r="V49" t="s">
        <v>70</v>
      </c>
      <c r="AC49" t="s">
        <v>74</v>
      </c>
      <c r="AD49">
        <v>13</v>
      </c>
      <c r="AE49">
        <v>44.787429</v>
      </c>
      <c r="AF49">
        <v>3.4452</v>
      </c>
      <c r="AG49" t="s">
        <v>69</v>
      </c>
    </row>
    <row r="50" spans="1:33" ht="12.75">
      <c r="A50" t="s">
        <v>84</v>
      </c>
      <c r="B50">
        <v>1</v>
      </c>
      <c r="C50">
        <v>1</v>
      </c>
      <c r="D50">
        <v>3.698535</v>
      </c>
      <c r="E50">
        <v>0.9977</v>
      </c>
      <c r="F50">
        <v>0.3511</v>
      </c>
      <c r="V50" t="s">
        <v>71</v>
      </c>
      <c r="AC50" t="s">
        <v>75</v>
      </c>
      <c r="AD50">
        <v>14</v>
      </c>
      <c r="AE50">
        <v>89.368015</v>
      </c>
      <c r="AG50">
        <v>0.0032</v>
      </c>
    </row>
    <row r="51" spans="1:26" ht="12.75">
      <c r="A51" t="s">
        <v>90</v>
      </c>
      <c r="B51">
        <v>1</v>
      </c>
      <c r="C51">
        <v>1</v>
      </c>
      <c r="D51">
        <v>5.412208</v>
      </c>
      <c r="E51">
        <v>1.46</v>
      </c>
      <c r="F51">
        <v>0.2662</v>
      </c>
      <c r="H51" t="s">
        <v>70</v>
      </c>
      <c r="O51" t="s">
        <v>70</v>
      </c>
      <c r="V51" t="s">
        <v>64</v>
      </c>
      <c r="W51" t="s">
        <v>66</v>
      </c>
      <c r="X51" t="s">
        <v>67</v>
      </c>
      <c r="Y51" t="s">
        <v>72</v>
      </c>
      <c r="Z51" t="s">
        <v>68</v>
      </c>
    </row>
    <row r="52" spans="8:29" ht="12.75">
      <c r="H52" t="s">
        <v>71</v>
      </c>
      <c r="O52" t="s">
        <v>71</v>
      </c>
      <c r="V52" t="s">
        <v>73</v>
      </c>
      <c r="W52">
        <v>3</v>
      </c>
      <c r="X52">
        <v>50.138695</v>
      </c>
      <c r="Y52">
        <v>16.7129</v>
      </c>
      <c r="Z52">
        <v>4.6863</v>
      </c>
      <c r="AC52" t="s">
        <v>92</v>
      </c>
    </row>
    <row r="53" spans="1:29" ht="12.75">
      <c r="A53" t="s">
        <v>70</v>
      </c>
      <c r="H53" t="s">
        <v>64</v>
      </c>
      <c r="I53" t="s">
        <v>66</v>
      </c>
      <c r="J53" t="s">
        <v>67</v>
      </c>
      <c r="K53" t="s">
        <v>72</v>
      </c>
      <c r="L53" t="s">
        <v>68</v>
      </c>
      <c r="O53" t="s">
        <v>64</v>
      </c>
      <c r="P53" t="s">
        <v>66</v>
      </c>
      <c r="Q53" t="s">
        <v>67</v>
      </c>
      <c r="R53" t="s">
        <v>72</v>
      </c>
      <c r="S53" t="s">
        <v>68</v>
      </c>
      <c r="V53" t="s">
        <v>74</v>
      </c>
      <c r="W53">
        <v>11</v>
      </c>
      <c r="X53">
        <v>39.22932</v>
      </c>
      <c r="Y53">
        <v>3.5663</v>
      </c>
      <c r="Z53" t="s">
        <v>69</v>
      </c>
      <c r="AC53" t="s">
        <v>63</v>
      </c>
    </row>
    <row r="54" spans="1:32" ht="12.75">
      <c r="A54" t="s">
        <v>71</v>
      </c>
      <c r="H54" t="s">
        <v>73</v>
      </c>
      <c r="I54">
        <v>4</v>
      </c>
      <c r="J54">
        <v>26.990505</v>
      </c>
      <c r="K54">
        <v>6.74763</v>
      </c>
      <c r="L54">
        <v>1.4231</v>
      </c>
      <c r="O54" t="s">
        <v>73</v>
      </c>
      <c r="P54">
        <v>4</v>
      </c>
      <c r="Q54">
        <v>33.560405</v>
      </c>
      <c r="R54">
        <v>8.3901</v>
      </c>
      <c r="S54">
        <v>2.1402</v>
      </c>
      <c r="V54" t="s">
        <v>75</v>
      </c>
      <c r="W54">
        <v>14</v>
      </c>
      <c r="X54">
        <v>89.368015</v>
      </c>
      <c r="Z54">
        <v>0.0241</v>
      </c>
      <c r="AC54" t="s">
        <v>67</v>
      </c>
      <c r="AD54" t="s">
        <v>68</v>
      </c>
      <c r="AE54" t="s">
        <v>66</v>
      </c>
      <c r="AF54" t="s">
        <v>69</v>
      </c>
    </row>
    <row r="55" spans="1:32" ht="12.75">
      <c r="A55" t="s">
        <v>64</v>
      </c>
      <c r="B55" t="s">
        <v>66</v>
      </c>
      <c r="C55" t="s">
        <v>67</v>
      </c>
      <c r="D55" t="s">
        <v>72</v>
      </c>
      <c r="E55" t="s">
        <v>68</v>
      </c>
      <c r="H55" t="s">
        <v>74</v>
      </c>
      <c r="I55">
        <v>8</v>
      </c>
      <c r="J55">
        <v>37.931931</v>
      </c>
      <c r="K55">
        <v>4.74149</v>
      </c>
      <c r="L55" t="s">
        <v>69</v>
      </c>
      <c r="O55" t="s">
        <v>74</v>
      </c>
      <c r="P55">
        <v>8</v>
      </c>
      <c r="Q55">
        <v>31.36203</v>
      </c>
      <c r="R55">
        <v>3.92025</v>
      </c>
      <c r="S55" t="s">
        <v>69</v>
      </c>
      <c r="AC55">
        <v>44.580585</v>
      </c>
      <c r="AD55">
        <v>12.94</v>
      </c>
      <c r="AE55">
        <v>1</v>
      </c>
      <c r="AF55">
        <v>0.0032</v>
      </c>
    </row>
    <row r="56" spans="1:22" ht="12.75">
      <c r="A56" t="s">
        <v>73</v>
      </c>
      <c r="B56">
        <v>5</v>
      </c>
      <c r="C56">
        <v>38.972613</v>
      </c>
      <c r="D56">
        <v>7.79452</v>
      </c>
      <c r="E56">
        <v>2.1026</v>
      </c>
      <c r="H56" t="s">
        <v>75</v>
      </c>
      <c r="I56">
        <v>12</v>
      </c>
      <c r="J56">
        <v>64.922436</v>
      </c>
      <c r="L56">
        <v>0.3103</v>
      </c>
      <c r="O56" t="s">
        <v>75</v>
      </c>
      <c r="P56">
        <v>12</v>
      </c>
      <c r="Q56">
        <v>64.922436</v>
      </c>
      <c r="S56">
        <v>0.1671</v>
      </c>
      <c r="V56" t="s">
        <v>92</v>
      </c>
    </row>
    <row r="57" spans="1:22" ht="12.75">
      <c r="A57" t="s">
        <v>74</v>
      </c>
      <c r="B57">
        <v>7</v>
      </c>
      <c r="C57">
        <v>25.949823</v>
      </c>
      <c r="D57">
        <v>3.70712</v>
      </c>
      <c r="E57" t="s">
        <v>69</v>
      </c>
      <c r="V57" t="s">
        <v>63</v>
      </c>
    </row>
    <row r="58" spans="1:25" ht="12.75">
      <c r="A58" t="s">
        <v>75</v>
      </c>
      <c r="B58">
        <v>12</v>
      </c>
      <c r="C58">
        <v>64.922436</v>
      </c>
      <c r="E58">
        <v>0.1799</v>
      </c>
      <c r="H58" t="s">
        <v>92</v>
      </c>
      <c r="O58" t="s">
        <v>46</v>
      </c>
      <c r="V58" t="s">
        <v>67</v>
      </c>
      <c r="W58" t="s">
        <v>68</v>
      </c>
      <c r="X58" t="s">
        <v>66</v>
      </c>
      <c r="Y58" t="s">
        <v>69</v>
      </c>
    </row>
    <row r="59" spans="8:25" ht="12.75">
      <c r="H59" t="s">
        <v>63</v>
      </c>
      <c r="O59" t="s">
        <v>63</v>
      </c>
      <c r="V59">
        <v>33.353007</v>
      </c>
      <c r="W59">
        <v>9.3523</v>
      </c>
      <c r="X59">
        <v>1</v>
      </c>
      <c r="Y59">
        <v>0.0109</v>
      </c>
    </row>
    <row r="60" spans="1:18" ht="12.75">
      <c r="A60" t="s">
        <v>46</v>
      </c>
      <c r="H60" t="s">
        <v>67</v>
      </c>
      <c r="I60" t="s">
        <v>68</v>
      </c>
      <c r="J60" t="s">
        <v>66</v>
      </c>
      <c r="K60" t="s">
        <v>69</v>
      </c>
      <c r="O60" t="s">
        <v>67</v>
      </c>
      <c r="P60" t="s">
        <v>68</v>
      </c>
      <c r="Q60" t="s">
        <v>66</v>
      </c>
      <c r="R60" t="s">
        <v>69</v>
      </c>
    </row>
    <row r="61" spans="1:22" ht="12.75">
      <c r="A61" t="s">
        <v>63</v>
      </c>
      <c r="H61">
        <v>19.211713</v>
      </c>
      <c r="I61">
        <v>4.0518</v>
      </c>
      <c r="J61">
        <v>1</v>
      </c>
      <c r="K61">
        <v>0.0789</v>
      </c>
      <c r="O61">
        <v>6.5702635</v>
      </c>
      <c r="P61">
        <v>1.676</v>
      </c>
      <c r="Q61">
        <v>1</v>
      </c>
      <c r="R61">
        <v>0.2316</v>
      </c>
      <c r="V61" t="s">
        <v>47</v>
      </c>
    </row>
    <row r="62" spans="1:22" ht="12.75">
      <c r="A62" t="s">
        <v>67</v>
      </c>
      <c r="B62" t="s">
        <v>68</v>
      </c>
      <c r="C62" t="s">
        <v>66</v>
      </c>
      <c r="D62" t="s">
        <v>69</v>
      </c>
      <c r="V62" t="s">
        <v>63</v>
      </c>
    </row>
    <row r="63" spans="1:25" ht="12.75">
      <c r="A63">
        <v>11.982108</v>
      </c>
      <c r="B63">
        <v>3.2322</v>
      </c>
      <c r="C63">
        <v>1</v>
      </c>
      <c r="D63">
        <v>0.1153</v>
      </c>
      <c r="H63" t="s">
        <v>47</v>
      </c>
      <c r="O63" t="s">
        <v>92</v>
      </c>
      <c r="V63" t="s">
        <v>67</v>
      </c>
      <c r="W63" t="s">
        <v>68</v>
      </c>
      <c r="X63" t="s">
        <v>66</v>
      </c>
      <c r="Y63" t="s">
        <v>69</v>
      </c>
    </row>
    <row r="64" spans="8:25" ht="12.75">
      <c r="H64" t="s">
        <v>63</v>
      </c>
      <c r="O64" t="s">
        <v>63</v>
      </c>
      <c r="V64">
        <v>5.5459276</v>
      </c>
      <c r="W64">
        <v>1.5551</v>
      </c>
      <c r="X64">
        <v>1</v>
      </c>
      <c r="Y64">
        <v>0.2383</v>
      </c>
    </row>
    <row r="65" spans="1:18" ht="12.75">
      <c r="A65" t="s">
        <v>92</v>
      </c>
      <c r="H65" t="s">
        <v>67</v>
      </c>
      <c r="I65" t="s">
        <v>68</v>
      </c>
      <c r="J65" t="s">
        <v>66</v>
      </c>
      <c r="K65" t="s">
        <v>69</v>
      </c>
      <c r="O65" t="s">
        <v>67</v>
      </c>
      <c r="P65" t="s">
        <v>68</v>
      </c>
      <c r="Q65" t="s">
        <v>66</v>
      </c>
      <c r="R65" t="s">
        <v>69</v>
      </c>
    </row>
    <row r="66" spans="1:22" ht="12.75">
      <c r="A66" t="s">
        <v>63</v>
      </c>
      <c r="H66">
        <v>2.9365711</v>
      </c>
      <c r="I66">
        <v>0.6193</v>
      </c>
      <c r="J66">
        <v>1</v>
      </c>
      <c r="K66">
        <v>0.454</v>
      </c>
      <c r="O66">
        <v>11.193968</v>
      </c>
      <c r="P66">
        <v>2.8554</v>
      </c>
      <c r="Q66">
        <v>1</v>
      </c>
      <c r="R66">
        <v>0.1295</v>
      </c>
      <c r="V66" t="s">
        <v>84</v>
      </c>
    </row>
    <row r="67" spans="1:22" ht="12.75">
      <c r="A67" t="s">
        <v>67</v>
      </c>
      <c r="B67" t="s">
        <v>68</v>
      </c>
      <c r="C67" t="s">
        <v>66</v>
      </c>
      <c r="D67" t="s">
        <v>69</v>
      </c>
      <c r="V67" t="s">
        <v>63</v>
      </c>
    </row>
    <row r="68" spans="1:25" ht="12.75">
      <c r="A68">
        <v>15.258834</v>
      </c>
      <c r="B68">
        <v>4.1161</v>
      </c>
      <c r="C68">
        <v>1</v>
      </c>
      <c r="D68">
        <v>0.0821</v>
      </c>
      <c r="H68" t="s">
        <v>84</v>
      </c>
      <c r="O68" t="s">
        <v>47</v>
      </c>
      <c r="V68" t="s">
        <v>67</v>
      </c>
      <c r="W68" t="s">
        <v>68</v>
      </c>
      <c r="X68" t="s">
        <v>66</v>
      </c>
      <c r="Y68" t="s">
        <v>69</v>
      </c>
    </row>
    <row r="69" spans="8:25" ht="12.75">
      <c r="H69" t="s">
        <v>63</v>
      </c>
      <c r="O69" t="s">
        <v>63</v>
      </c>
      <c r="V69">
        <v>3.0381</v>
      </c>
      <c r="W69">
        <v>0.8519</v>
      </c>
      <c r="X69">
        <v>1</v>
      </c>
      <c r="Y69">
        <v>0.3758</v>
      </c>
    </row>
    <row r="70" spans="1:18" ht="12.75">
      <c r="A70" t="s">
        <v>47</v>
      </c>
      <c r="H70" t="s">
        <v>67</v>
      </c>
      <c r="I70" t="s">
        <v>68</v>
      </c>
      <c r="J70" t="s">
        <v>66</v>
      </c>
      <c r="K70" t="s">
        <v>69</v>
      </c>
      <c r="O70" t="s">
        <v>67</v>
      </c>
      <c r="P70" t="s">
        <v>68</v>
      </c>
      <c r="Q70" t="s">
        <v>66</v>
      </c>
      <c r="R70" t="s">
        <v>69</v>
      </c>
    </row>
    <row r="71" spans="1:18" ht="12.75">
      <c r="A71" t="s">
        <v>63</v>
      </c>
      <c r="H71">
        <v>1.3484119</v>
      </c>
      <c r="I71">
        <v>0.2844</v>
      </c>
      <c r="J71">
        <v>1</v>
      </c>
      <c r="K71">
        <v>0.6083</v>
      </c>
      <c r="O71">
        <v>8.8196779</v>
      </c>
      <c r="P71">
        <v>2.2498</v>
      </c>
      <c r="Q71">
        <v>1</v>
      </c>
      <c r="R71">
        <v>0.172</v>
      </c>
    </row>
    <row r="72" spans="1:4" ht="12.75">
      <c r="A72" t="s">
        <v>67</v>
      </c>
      <c r="B72" t="s">
        <v>68</v>
      </c>
      <c r="C72" t="s">
        <v>66</v>
      </c>
      <c r="D72" t="s">
        <v>69</v>
      </c>
    </row>
    <row r="73" spans="1:15" ht="12.75">
      <c r="A73">
        <v>5.6900582</v>
      </c>
      <c r="B73">
        <v>1.5349</v>
      </c>
      <c r="C73">
        <v>1</v>
      </c>
      <c r="D73">
        <v>0.2553</v>
      </c>
      <c r="H73" t="s">
        <v>90</v>
      </c>
      <c r="O73" t="s">
        <v>84</v>
      </c>
    </row>
    <row r="74" spans="8:15" ht="12.75">
      <c r="H74" t="s">
        <v>63</v>
      </c>
      <c r="O74" t="s">
        <v>63</v>
      </c>
    </row>
    <row r="75" spans="1:18" ht="12.75">
      <c r="A75" t="s">
        <v>84</v>
      </c>
      <c r="H75" t="s">
        <v>67</v>
      </c>
      <c r="I75" t="s">
        <v>68</v>
      </c>
      <c r="J75" t="s">
        <v>66</v>
      </c>
      <c r="K75" t="s">
        <v>69</v>
      </c>
      <c r="O75" t="s">
        <v>67</v>
      </c>
      <c r="P75" t="s">
        <v>68</v>
      </c>
      <c r="Q75" t="s">
        <v>66</v>
      </c>
      <c r="R75" t="s">
        <v>69</v>
      </c>
    </row>
    <row r="76" spans="1:18" ht="12.75">
      <c r="A76" t="s">
        <v>63</v>
      </c>
      <c r="H76">
        <v>0.0003628</v>
      </c>
      <c r="I76">
        <v>0.0001</v>
      </c>
      <c r="J76">
        <v>1</v>
      </c>
      <c r="K76">
        <v>0.9932</v>
      </c>
      <c r="O76">
        <v>5.6194013</v>
      </c>
      <c r="P76">
        <v>1.4334</v>
      </c>
      <c r="Q76">
        <v>1</v>
      </c>
      <c r="R76">
        <v>0.2655</v>
      </c>
    </row>
    <row r="77" spans="1:4" ht="12.75">
      <c r="A77" t="s">
        <v>67</v>
      </c>
      <c r="B77" t="s">
        <v>68</v>
      </c>
      <c r="C77" t="s">
        <v>66</v>
      </c>
      <c r="D77" t="s">
        <v>69</v>
      </c>
    </row>
    <row r="78" spans="1:4" ht="12.75">
      <c r="A78">
        <v>3.6985349</v>
      </c>
      <c r="B78">
        <v>0.9977</v>
      </c>
      <c r="C78">
        <v>1</v>
      </c>
      <c r="D78">
        <v>0.3511</v>
      </c>
    </row>
    <row r="80" ht="12.75">
      <c r="A80" t="s">
        <v>90</v>
      </c>
    </row>
    <row r="81" ht="12.75">
      <c r="A81" t="s">
        <v>63</v>
      </c>
    </row>
    <row r="82" spans="1:4" ht="12.75">
      <c r="A82" t="s">
        <v>67</v>
      </c>
      <c r="B82" t="s">
        <v>68</v>
      </c>
      <c r="C82" t="s">
        <v>66</v>
      </c>
      <c r="D82" t="s">
        <v>69</v>
      </c>
    </row>
    <row r="83" spans="1:4" ht="12.75">
      <c r="A83">
        <v>5.4122077</v>
      </c>
      <c r="B83">
        <v>1.46</v>
      </c>
      <c r="C83">
        <v>1</v>
      </c>
      <c r="D83">
        <v>0.2662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1">
      <selection activeCell="A71" sqref="A71:F79"/>
    </sheetView>
  </sheetViews>
  <sheetFormatPr defaultColWidth="11.00390625" defaultRowHeight="12"/>
  <sheetData>
    <row r="1" ht="12.75">
      <c r="A1" t="s">
        <v>218</v>
      </c>
    </row>
    <row r="2" spans="2:8" ht="12.75">
      <c r="B2" t="s">
        <v>140</v>
      </c>
      <c r="C2" t="s">
        <v>13</v>
      </c>
      <c r="D2" t="s">
        <v>220</v>
      </c>
      <c r="F2" s="38" t="s">
        <v>18</v>
      </c>
      <c r="G2" s="39"/>
      <c r="H2" s="37" t="s">
        <v>42</v>
      </c>
    </row>
    <row r="3" spans="1:11" ht="12.75">
      <c r="A3" s="37" t="s">
        <v>219</v>
      </c>
      <c r="B3">
        <v>0.4127</v>
      </c>
      <c r="C3">
        <f>B3^2</f>
        <v>0.17032129000000001</v>
      </c>
      <c r="D3">
        <v>13</v>
      </c>
      <c r="E3">
        <f>C3*D3</f>
        <v>2.2141767700000003</v>
      </c>
      <c r="F3">
        <v>24</v>
      </c>
      <c r="H3" t="s">
        <v>35</v>
      </c>
      <c r="I3" t="s">
        <v>140</v>
      </c>
      <c r="J3" t="s">
        <v>40</v>
      </c>
      <c r="K3" t="s">
        <v>45</v>
      </c>
    </row>
    <row r="4" spans="1:11" ht="12.75">
      <c r="A4" s="37" t="s">
        <v>221</v>
      </c>
      <c r="H4" t="s">
        <v>36</v>
      </c>
      <c r="I4">
        <v>0.34</v>
      </c>
      <c r="J4">
        <v>87</v>
      </c>
      <c r="K4" s="44">
        <f>1/C41</f>
        <v>279.1560378668221</v>
      </c>
    </row>
    <row r="5" spans="1:11" ht="12.75">
      <c r="A5" s="25" t="s">
        <v>222</v>
      </c>
      <c r="B5">
        <v>0.3701</v>
      </c>
      <c r="C5">
        <f>B5^2</f>
        <v>0.13697400999999998</v>
      </c>
      <c r="D5">
        <v>7</v>
      </c>
      <c r="E5">
        <f>C5*D5</f>
        <v>0.9588180699999999</v>
      </c>
      <c r="F5">
        <v>1.5</v>
      </c>
      <c r="H5" t="s">
        <v>37</v>
      </c>
      <c r="I5">
        <v>0.22</v>
      </c>
      <c r="J5">
        <v>31</v>
      </c>
      <c r="K5" s="44">
        <f>1/I41</f>
        <v>8.673974332376853</v>
      </c>
    </row>
    <row r="6" spans="1:6" ht="12.75">
      <c r="A6" s="25" t="s">
        <v>223</v>
      </c>
      <c r="B6">
        <v>0.3606</v>
      </c>
      <c r="C6">
        <f>B6^2</f>
        <v>0.13003235999999999</v>
      </c>
      <c r="D6">
        <v>5</v>
      </c>
      <c r="E6">
        <f>C6*D6</f>
        <v>0.6501617999999999</v>
      </c>
      <c r="F6">
        <v>1.5</v>
      </c>
    </row>
    <row r="7" spans="1:6" ht="12.75">
      <c r="A7" s="37" t="s">
        <v>225</v>
      </c>
      <c r="B7">
        <v>0.0762</v>
      </c>
      <c r="C7">
        <f>B7^2</f>
        <v>0.00580644</v>
      </c>
      <c r="D7">
        <v>4</v>
      </c>
      <c r="E7">
        <f>C7*D7</f>
        <v>0.02322576</v>
      </c>
      <c r="F7" s="25" t="s">
        <v>23</v>
      </c>
    </row>
    <row r="8" spans="1:10" ht="12.75">
      <c r="A8" s="37" t="s">
        <v>226</v>
      </c>
      <c r="B8">
        <v>0.192</v>
      </c>
      <c r="C8">
        <f>B8^2</f>
        <v>0.036864</v>
      </c>
      <c r="D8">
        <v>21</v>
      </c>
      <c r="E8">
        <f>C8*D8</f>
        <v>0.774144</v>
      </c>
      <c r="F8" s="25" t="s">
        <v>24</v>
      </c>
      <c r="H8" t="s">
        <v>38</v>
      </c>
      <c r="I8">
        <v>0.32</v>
      </c>
      <c r="J8">
        <v>83</v>
      </c>
    </row>
    <row r="9" spans="1:10" ht="12.75">
      <c r="A9" s="37" t="s">
        <v>6</v>
      </c>
      <c r="H9" t="s">
        <v>39</v>
      </c>
      <c r="I9">
        <v>0.27</v>
      </c>
      <c r="J9">
        <v>40</v>
      </c>
    </row>
    <row r="10" spans="1:6" ht="12.75">
      <c r="A10" s="25" t="s">
        <v>7</v>
      </c>
      <c r="B10">
        <v>0.36</v>
      </c>
      <c r="C10">
        <f>B10^2</f>
        <v>0.1296</v>
      </c>
      <c r="D10">
        <v>29</v>
      </c>
      <c r="E10">
        <f>C10*D10</f>
        <v>3.7584</v>
      </c>
      <c r="F10">
        <v>1</v>
      </c>
    </row>
    <row r="11" ht="12.75">
      <c r="A11" s="25" t="s">
        <v>8</v>
      </c>
    </row>
    <row r="12" ht="12.75">
      <c r="A12" s="25" t="s">
        <v>9</v>
      </c>
    </row>
    <row r="13" spans="1:6" ht="12.75">
      <c r="A13" s="25" t="s">
        <v>10</v>
      </c>
      <c r="B13">
        <v>0.2955</v>
      </c>
      <c r="C13">
        <f>B13^2</f>
        <v>0.08732024999999999</v>
      </c>
      <c r="D13">
        <v>37</v>
      </c>
      <c r="E13">
        <f>C13*D13</f>
        <v>3.2308492499999995</v>
      </c>
      <c r="F13">
        <v>1</v>
      </c>
    </row>
    <row r="15" spans="2:5" ht="12.75">
      <c r="B15" t="s">
        <v>11</v>
      </c>
      <c r="D15">
        <f>SUM(D3:D13)</f>
        <v>116</v>
      </c>
      <c r="E15">
        <f>SUM(E3:E13)</f>
        <v>11.60977565</v>
      </c>
    </row>
    <row r="16" ht="12.75">
      <c r="B16" t="s">
        <v>12</v>
      </c>
    </row>
    <row r="17" ht="12.75">
      <c r="B17" s="9">
        <f>SQRT(E15/D15)</f>
        <v>0.31636098502316556</v>
      </c>
    </row>
    <row r="21" spans="1:8" ht="13.5">
      <c r="A21" s="10" t="s">
        <v>228</v>
      </c>
      <c r="B21" s="10"/>
      <c r="C21" s="10"/>
      <c r="D21" s="10"/>
      <c r="E21" s="10"/>
      <c r="F21" s="10"/>
      <c r="G21" s="10"/>
      <c r="H21" s="10"/>
    </row>
    <row r="22" spans="1:8" ht="13.5">
      <c r="A22" s="10" t="s">
        <v>229</v>
      </c>
      <c r="B22" s="10"/>
      <c r="C22" s="10"/>
      <c r="D22" s="10"/>
      <c r="E22" s="10"/>
      <c r="F22" s="10"/>
      <c r="G22" s="10"/>
      <c r="H22" s="10"/>
    </row>
    <row r="23" spans="1:8" ht="13.5">
      <c r="A23" s="10" t="s">
        <v>230</v>
      </c>
      <c r="B23" s="10"/>
      <c r="C23" s="10"/>
      <c r="D23" s="10"/>
      <c r="E23" s="10"/>
      <c r="F23" s="10"/>
      <c r="G23" s="10"/>
      <c r="H23" s="10"/>
    </row>
    <row r="25" spans="1:10" ht="15.75">
      <c r="A25" s="42" t="s">
        <v>14</v>
      </c>
      <c r="B25" s="42"/>
      <c r="C25" s="42" t="s">
        <v>16</v>
      </c>
      <c r="D25" s="42"/>
      <c r="E25" s="42"/>
      <c r="F25" s="42"/>
      <c r="G25" s="42" t="s">
        <v>15</v>
      </c>
      <c r="H25" s="42"/>
      <c r="I25" s="42"/>
      <c r="J25" s="42" t="s">
        <v>17</v>
      </c>
    </row>
    <row r="26" spans="2:11" ht="12.75">
      <c r="B26" t="s">
        <v>140</v>
      </c>
      <c r="C26" t="s">
        <v>43</v>
      </c>
      <c r="D26" t="s">
        <v>13</v>
      </c>
      <c r="E26" t="s">
        <v>220</v>
      </c>
      <c r="H26" t="s">
        <v>140</v>
      </c>
      <c r="I26" t="s">
        <v>43</v>
      </c>
      <c r="J26" t="s">
        <v>13</v>
      </c>
      <c r="K26" t="s">
        <v>220</v>
      </c>
    </row>
    <row r="27" spans="1:7" ht="12.75">
      <c r="A27" s="37" t="s">
        <v>219</v>
      </c>
      <c r="B27">
        <v>0.4127</v>
      </c>
      <c r="C27">
        <f>LOG(B27)</f>
        <v>-0.38436553112258404</v>
      </c>
      <c r="D27">
        <f>B27^2</f>
        <v>0.17032129000000001</v>
      </c>
      <c r="E27">
        <v>13</v>
      </c>
      <c r="F27">
        <f>D27*E27</f>
        <v>2.2141767700000003</v>
      </c>
      <c r="G27" s="37"/>
    </row>
    <row r="28" spans="1:7" ht="12.75">
      <c r="A28" s="37" t="s">
        <v>221</v>
      </c>
      <c r="G28" s="37" t="s">
        <v>221</v>
      </c>
    </row>
    <row r="29" spans="1:7" ht="12.75">
      <c r="A29" s="25" t="s">
        <v>222</v>
      </c>
      <c r="B29">
        <v>0.3626</v>
      </c>
      <c r="C29">
        <f>LOG(B29)</f>
        <v>-0.4405722002405102</v>
      </c>
      <c r="D29">
        <f>B29^2</f>
        <v>0.13147875999999997</v>
      </c>
      <c r="E29">
        <v>7</v>
      </c>
      <c r="F29">
        <f>D29*E29</f>
        <v>0.9203513199999998</v>
      </c>
      <c r="G29" s="25"/>
    </row>
    <row r="30" spans="1:12" ht="12.75">
      <c r="A30" s="25"/>
      <c r="G30" s="25" t="s">
        <v>223</v>
      </c>
      <c r="H30">
        <v>0.3606</v>
      </c>
      <c r="I30">
        <f>LOG(H30)</f>
        <v>-0.44297427761361685</v>
      </c>
      <c r="J30">
        <f>H30^2</f>
        <v>0.13003235999999999</v>
      </c>
      <c r="K30">
        <v>5</v>
      </c>
      <c r="L30">
        <f>J30*K30</f>
        <v>0.6501617999999999</v>
      </c>
    </row>
    <row r="31" spans="1:12" ht="12.75">
      <c r="A31" s="37"/>
      <c r="G31" s="37" t="s">
        <v>225</v>
      </c>
      <c r="H31">
        <v>0.0762</v>
      </c>
      <c r="I31">
        <f>LOG(H31)</f>
        <v>-1.1180450286603996</v>
      </c>
      <c r="J31">
        <f>H31^2</f>
        <v>0.00580644</v>
      </c>
      <c r="K31">
        <v>4</v>
      </c>
      <c r="L31">
        <f>J31*K31</f>
        <v>0.02322576</v>
      </c>
    </row>
    <row r="32" spans="1:12" ht="12.75">
      <c r="A32" s="37"/>
      <c r="G32" s="37" t="s">
        <v>226</v>
      </c>
      <c r="H32">
        <v>0.192</v>
      </c>
      <c r="I32">
        <f>LOG(H32)</f>
        <v>-0.7166987712964504</v>
      </c>
      <c r="J32">
        <f>H32^2</f>
        <v>0.036864</v>
      </c>
      <c r="K32">
        <v>21</v>
      </c>
      <c r="L32">
        <f>J32*K32</f>
        <v>0.774144</v>
      </c>
    </row>
    <row r="33" spans="1:7" ht="12.75">
      <c r="A33" s="37" t="s">
        <v>6</v>
      </c>
      <c r="G33" s="37"/>
    </row>
    <row r="34" spans="1:7" ht="12.75">
      <c r="A34" s="25" t="s">
        <v>7</v>
      </c>
      <c r="B34">
        <v>0.36</v>
      </c>
      <c r="C34">
        <f>LOG(B34)</f>
        <v>-0.44369749923271273</v>
      </c>
      <c r="D34">
        <f>B34^2</f>
        <v>0.1296</v>
      </c>
      <c r="E34">
        <v>29</v>
      </c>
      <c r="F34">
        <f>D34*E34</f>
        <v>3.7584</v>
      </c>
      <c r="G34" s="25"/>
    </row>
    <row r="35" spans="1:7" ht="12.75">
      <c r="A35" s="25" t="s">
        <v>8</v>
      </c>
      <c r="G35" s="25"/>
    </row>
    <row r="36" spans="1:7" ht="12.75">
      <c r="A36" s="25" t="s">
        <v>9</v>
      </c>
      <c r="G36" s="25"/>
    </row>
    <row r="37" spans="1:7" ht="12.75">
      <c r="A37" s="25" t="s">
        <v>10</v>
      </c>
      <c r="B37">
        <v>0.2955</v>
      </c>
      <c r="C37">
        <f>LOG(B37)</f>
        <v>-0.5294425147827259</v>
      </c>
      <c r="D37">
        <f>B37^2</f>
        <v>0.08732024999999999</v>
      </c>
      <c r="E37">
        <v>37</v>
      </c>
      <c r="F37">
        <f>D37*E37</f>
        <v>3.2308492499999995</v>
      </c>
      <c r="G37" s="25"/>
    </row>
    <row r="39" spans="5:12" ht="12.75">
      <c r="E39">
        <f>SUM(E27:E37)</f>
        <v>86</v>
      </c>
      <c r="F39">
        <f>SUM(F27:F37)</f>
        <v>10.12377734</v>
      </c>
      <c r="K39">
        <f>SUM(K27:K37)</f>
        <v>30</v>
      </c>
      <c r="L39">
        <f>SUM(L27:L37)</f>
        <v>1.4475315599999998</v>
      </c>
    </row>
    <row r="40" spans="3:9" ht="12.75">
      <c r="C40" t="s">
        <v>44</v>
      </c>
      <c r="I40" t="s">
        <v>44</v>
      </c>
    </row>
    <row r="41" spans="3:9" ht="12.75">
      <c r="C41">
        <f>VAR(C27:C37)</f>
        <v>0.0035822259394477918</v>
      </c>
      <c r="F41" t="s">
        <v>11</v>
      </c>
      <c r="H41" t="s">
        <v>11</v>
      </c>
      <c r="I41">
        <f>VAR(I27:I37)</f>
        <v>0.11528740594347353</v>
      </c>
    </row>
    <row r="42" spans="6:8" ht="12.75">
      <c r="F42" t="s">
        <v>12</v>
      </c>
      <c r="H42" t="s">
        <v>12</v>
      </c>
    </row>
    <row r="43" spans="6:8" ht="12.75">
      <c r="F43" s="9">
        <f>SQRT(F39/E39)</f>
        <v>0.34310106552266884</v>
      </c>
      <c r="H43" s="9">
        <f>SQRT(L39/K39)</f>
        <v>0.21966122097448154</v>
      </c>
    </row>
    <row r="46" spans="1:11" ht="15.75">
      <c r="A46" s="42" t="s">
        <v>27</v>
      </c>
      <c r="E46" s="42" t="s">
        <v>28</v>
      </c>
      <c r="G46" s="42" t="s">
        <v>26</v>
      </c>
      <c r="K46" s="42" t="s">
        <v>30</v>
      </c>
    </row>
    <row r="47" spans="2:12" ht="12.75">
      <c r="B47" t="s">
        <v>140</v>
      </c>
      <c r="C47" t="s">
        <v>13</v>
      </c>
      <c r="D47" t="s">
        <v>220</v>
      </c>
      <c r="F47" s="41" t="s">
        <v>18</v>
      </c>
      <c r="H47" t="s">
        <v>140</v>
      </c>
      <c r="I47" t="s">
        <v>13</v>
      </c>
      <c r="J47" t="s">
        <v>220</v>
      </c>
      <c r="L47" s="40" t="s">
        <v>18</v>
      </c>
    </row>
    <row r="48" spans="1:12" ht="12.75">
      <c r="A48" s="37"/>
      <c r="F48" s="41"/>
      <c r="G48" s="37" t="s">
        <v>219</v>
      </c>
      <c r="H48">
        <v>0.4127</v>
      </c>
      <c r="I48">
        <f>H48^2</f>
        <v>0.17032129000000001</v>
      </c>
      <c r="J48">
        <v>13</v>
      </c>
      <c r="K48">
        <f>I48*J48</f>
        <v>2.2141767700000003</v>
      </c>
      <c r="L48" s="41">
        <v>24</v>
      </c>
    </row>
    <row r="49" spans="1:12" ht="12.75">
      <c r="A49" s="37" t="s">
        <v>221</v>
      </c>
      <c r="F49" s="41"/>
      <c r="G49" s="37"/>
      <c r="L49" s="41"/>
    </row>
    <row r="50" spans="1:12" ht="12.75">
      <c r="A50" s="25" t="s">
        <v>222</v>
      </c>
      <c r="B50">
        <v>0.3626</v>
      </c>
      <c r="C50">
        <f>B50^2</f>
        <v>0.13147875999999997</v>
      </c>
      <c r="D50">
        <v>7</v>
      </c>
      <c r="E50">
        <f>C50*D50</f>
        <v>0.9203513199999998</v>
      </c>
      <c r="F50" s="41">
        <v>1.5</v>
      </c>
      <c r="G50" s="25"/>
      <c r="L50" s="41"/>
    </row>
    <row r="51" spans="1:12" ht="12.75">
      <c r="A51" s="25" t="s">
        <v>223</v>
      </c>
      <c r="B51">
        <v>0.3606</v>
      </c>
      <c r="C51">
        <f>B51^2</f>
        <v>0.13003235999999999</v>
      </c>
      <c r="D51">
        <v>5</v>
      </c>
      <c r="E51">
        <f>C51*D51</f>
        <v>0.6501617999999999</v>
      </c>
      <c r="F51" s="41">
        <v>1.5</v>
      </c>
      <c r="G51" s="25"/>
      <c r="L51" s="41"/>
    </row>
    <row r="52" spans="1:12" ht="12.75">
      <c r="A52" s="37" t="s">
        <v>225</v>
      </c>
      <c r="B52">
        <v>0.0302</v>
      </c>
      <c r="C52">
        <f>B52^2</f>
        <v>0.00091204</v>
      </c>
      <c r="D52">
        <v>4</v>
      </c>
      <c r="E52">
        <f>C52*D52</f>
        <v>0.00364816</v>
      </c>
      <c r="F52" s="41">
        <v>2.5</v>
      </c>
      <c r="G52" s="37" t="s">
        <v>225</v>
      </c>
      <c r="L52" s="41"/>
    </row>
    <row r="53" spans="6:12" ht="12.75">
      <c r="F53" s="41"/>
      <c r="H53">
        <v>0.1035</v>
      </c>
      <c r="I53">
        <f>H53^2</f>
        <v>0.01071225</v>
      </c>
      <c r="J53">
        <v>5</v>
      </c>
      <c r="K53">
        <f>I53*J53</f>
        <v>0.05356125</v>
      </c>
      <c r="L53" s="41">
        <v>24</v>
      </c>
    </row>
    <row r="54" spans="1:12" ht="12.75">
      <c r="A54" s="37"/>
      <c r="F54" s="41"/>
      <c r="G54" s="37" t="s">
        <v>226</v>
      </c>
      <c r="L54" s="41"/>
    </row>
    <row r="55" spans="6:12" ht="12.75">
      <c r="F55" s="41"/>
      <c r="H55">
        <v>0.1785</v>
      </c>
      <c r="I55">
        <f>H55^2</f>
        <v>0.031862249999999995</v>
      </c>
      <c r="J55">
        <v>21</v>
      </c>
      <c r="K55">
        <f>I55*J55</f>
        <v>0.6691072499999999</v>
      </c>
      <c r="L55" s="41">
        <v>24</v>
      </c>
    </row>
    <row r="56" spans="1:7" ht="12.75">
      <c r="A56" s="37" t="s">
        <v>6</v>
      </c>
      <c r="F56" s="41"/>
      <c r="G56" s="37"/>
    </row>
    <row r="57" spans="1:7" ht="12.75">
      <c r="A57" s="25" t="s">
        <v>7</v>
      </c>
      <c r="B57">
        <v>0.36</v>
      </c>
      <c r="C57">
        <f>B57^2</f>
        <v>0.1296</v>
      </c>
      <c r="D57">
        <v>29</v>
      </c>
      <c r="E57">
        <f>C57*D57</f>
        <v>3.7584</v>
      </c>
      <c r="F57" s="41">
        <v>1</v>
      </c>
      <c r="G57" s="25"/>
    </row>
    <row r="58" spans="1:7" ht="12.75">
      <c r="A58" s="25" t="s">
        <v>8</v>
      </c>
      <c r="F58" s="41"/>
      <c r="G58" s="25"/>
    </row>
    <row r="59" spans="1:7" ht="12.75">
      <c r="A59" s="25" t="s">
        <v>9</v>
      </c>
      <c r="F59" s="41"/>
      <c r="G59" s="25"/>
    </row>
    <row r="60" spans="1:7" ht="12.75">
      <c r="A60" s="25" t="s">
        <v>10</v>
      </c>
      <c r="B60">
        <v>0.2955</v>
      </c>
      <c r="C60">
        <f>B60^2</f>
        <v>0.08732024999999999</v>
      </c>
      <c r="D60">
        <v>37</v>
      </c>
      <c r="E60">
        <f>C60*D60</f>
        <v>3.2308492499999995</v>
      </c>
      <c r="F60" s="41">
        <v>1</v>
      </c>
      <c r="G60" s="25"/>
    </row>
    <row r="61" ht="12.75">
      <c r="F61" s="41"/>
    </row>
    <row r="62" spans="2:11" ht="12.75">
      <c r="B62" t="s">
        <v>11</v>
      </c>
      <c r="D62">
        <f>SUM(D48:D60)</f>
        <v>82</v>
      </c>
      <c r="E62">
        <f>SUM(E48:E60)</f>
        <v>8.563410529999999</v>
      </c>
      <c r="F62" s="41"/>
      <c r="H62" t="s">
        <v>11</v>
      </c>
      <c r="J62">
        <f>SUM(J48:J60)</f>
        <v>39</v>
      </c>
      <c r="K62">
        <f>SUM(K48:K60)</f>
        <v>2.93684527</v>
      </c>
    </row>
    <row r="63" spans="2:8" ht="12.75">
      <c r="B63" t="s">
        <v>12</v>
      </c>
      <c r="H63" t="s">
        <v>12</v>
      </c>
    </row>
    <row r="64" spans="2:8" ht="12.75">
      <c r="B64" s="9">
        <f>SQRT(E62/D62)</f>
        <v>0.3231591492310055</v>
      </c>
      <c r="H64" s="9">
        <f>SQRT(K62/J62)</f>
        <v>0.27441524169002507</v>
      </c>
    </row>
    <row r="69" ht="15.75">
      <c r="A69" s="42" t="s">
        <v>29</v>
      </c>
    </row>
    <row r="70" spans="2:6" ht="12.75">
      <c r="B70" t="s">
        <v>140</v>
      </c>
      <c r="C70" t="s">
        <v>13</v>
      </c>
      <c r="D70" t="s">
        <v>220</v>
      </c>
      <c r="F70" s="38" t="s">
        <v>25</v>
      </c>
    </row>
    <row r="71" spans="1:6" ht="12.75">
      <c r="A71" s="43" t="s">
        <v>32</v>
      </c>
      <c r="B71">
        <v>0.3626</v>
      </c>
      <c r="C71">
        <f aca="true" t="shared" si="0" ref="C71:C78">B71^2</f>
        <v>0.13147875999999997</v>
      </c>
      <c r="D71">
        <v>7</v>
      </c>
      <c r="E71">
        <f aca="true" t="shared" si="1" ref="E71:E78">C71*D71</f>
        <v>0.9203513199999998</v>
      </c>
      <c r="F71">
        <v>1</v>
      </c>
    </row>
    <row r="72" spans="1:6" ht="12.75">
      <c r="A72" s="43" t="s">
        <v>33</v>
      </c>
      <c r="B72">
        <v>0.3606</v>
      </c>
      <c r="C72">
        <f t="shared" si="0"/>
        <v>0.13003235999999999</v>
      </c>
      <c r="D72">
        <v>5</v>
      </c>
      <c r="E72">
        <f t="shared" si="1"/>
        <v>0.6501617999999999</v>
      </c>
      <c r="F72">
        <v>1</v>
      </c>
    </row>
    <row r="73" spans="1:6" ht="12.75">
      <c r="A73" s="37" t="s">
        <v>34</v>
      </c>
      <c r="B73">
        <v>0.2439</v>
      </c>
      <c r="C73">
        <f t="shared" si="0"/>
        <v>0.059487210000000006</v>
      </c>
      <c r="D73">
        <v>5</v>
      </c>
      <c r="E73">
        <f t="shared" si="1"/>
        <v>0.29743605</v>
      </c>
      <c r="F73" s="25">
        <v>2</v>
      </c>
    </row>
    <row r="74" spans="1:6" ht="12.75">
      <c r="A74" s="37" t="s">
        <v>219</v>
      </c>
      <c r="B74">
        <v>0.4127</v>
      </c>
      <c r="C74">
        <f t="shared" si="0"/>
        <v>0.17032129000000001</v>
      </c>
      <c r="D74">
        <v>13</v>
      </c>
      <c r="E74">
        <f t="shared" si="1"/>
        <v>2.2141767700000003</v>
      </c>
      <c r="F74">
        <v>2</v>
      </c>
    </row>
    <row r="75" spans="1:6" ht="12.75">
      <c r="A75" s="37" t="s">
        <v>225</v>
      </c>
      <c r="B75">
        <v>0.0762</v>
      </c>
      <c r="C75">
        <f t="shared" si="0"/>
        <v>0.00580644</v>
      </c>
      <c r="D75">
        <v>4</v>
      </c>
      <c r="E75">
        <f t="shared" si="1"/>
        <v>0.02322576</v>
      </c>
      <c r="F75" s="25">
        <v>2.6</v>
      </c>
    </row>
    <row r="76" spans="1:6" ht="12.75">
      <c r="A76" s="37" t="s">
        <v>34</v>
      </c>
      <c r="B76">
        <v>0.221</v>
      </c>
      <c r="C76">
        <f t="shared" si="0"/>
        <v>0.048841</v>
      </c>
      <c r="D76">
        <v>21</v>
      </c>
      <c r="E76">
        <f t="shared" si="1"/>
        <v>1.0256610000000002</v>
      </c>
      <c r="F76">
        <v>3.5</v>
      </c>
    </row>
    <row r="77" spans="1:6" ht="12.75">
      <c r="A77" s="37" t="s">
        <v>34</v>
      </c>
      <c r="B77">
        <v>0.1682</v>
      </c>
      <c r="C77">
        <f t="shared" si="0"/>
        <v>0.028291239999999995</v>
      </c>
      <c r="D77">
        <v>19</v>
      </c>
      <c r="E77">
        <f t="shared" si="1"/>
        <v>0.53753356</v>
      </c>
      <c r="F77">
        <v>4.5</v>
      </c>
    </row>
    <row r="78" spans="1:6" ht="12.75">
      <c r="A78" s="37" t="s">
        <v>34</v>
      </c>
      <c r="B78">
        <v>0.165</v>
      </c>
      <c r="C78">
        <f t="shared" si="0"/>
        <v>0.027225000000000003</v>
      </c>
      <c r="D78">
        <v>21</v>
      </c>
      <c r="E78">
        <f t="shared" si="1"/>
        <v>0.571725</v>
      </c>
      <c r="F78">
        <v>5.5</v>
      </c>
    </row>
    <row r="79" ht="12.75">
      <c r="A79" s="37" t="s">
        <v>6</v>
      </c>
    </row>
    <row r="80" ht="12.75">
      <c r="A80" s="25" t="s">
        <v>7</v>
      </c>
    </row>
    <row r="81" spans="1:6" ht="12.75">
      <c r="A81" s="25" t="s">
        <v>8</v>
      </c>
      <c r="B81">
        <v>0.36</v>
      </c>
      <c r="C81">
        <f>B81^2</f>
        <v>0.1296</v>
      </c>
      <c r="D81">
        <v>29</v>
      </c>
      <c r="E81">
        <f>C81*D81</f>
        <v>3.7584</v>
      </c>
      <c r="F81" s="25" t="s">
        <v>31</v>
      </c>
    </row>
    <row r="82" spans="1:6" ht="12.75">
      <c r="A82" s="25" t="s">
        <v>9</v>
      </c>
      <c r="F82" s="25"/>
    </row>
    <row r="83" spans="1:6" ht="12.75">
      <c r="A83" s="25" t="s">
        <v>10</v>
      </c>
      <c r="F83" s="25"/>
    </row>
    <row r="84" spans="2:6" ht="12.75">
      <c r="B84">
        <v>0.2955</v>
      </c>
      <c r="C84">
        <f>B84^2</f>
        <v>0.08732024999999999</v>
      </c>
      <c r="D84">
        <v>37</v>
      </c>
      <c r="E84">
        <f>C84*D84</f>
        <v>3.2308492499999995</v>
      </c>
      <c r="F84" s="25" t="s">
        <v>31</v>
      </c>
    </row>
    <row r="86" spans="2:5" ht="12.75">
      <c r="B86" t="s">
        <v>11</v>
      </c>
      <c r="D86">
        <f>SUM(D71:D84)</f>
        <v>161</v>
      </c>
      <c r="E86">
        <f>SUM(E71:E84)</f>
        <v>13.22952051</v>
      </c>
    </row>
    <row r="87" ht="12.75">
      <c r="B87" t="s">
        <v>12</v>
      </c>
    </row>
    <row r="88" ht="12.75">
      <c r="B88" s="9">
        <f>SQRT(E86/D86)</f>
        <v>0.2866547310698369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K7" sqref="K7"/>
    </sheetView>
  </sheetViews>
  <sheetFormatPr defaultColWidth="11.00390625" defaultRowHeight="12"/>
  <cols>
    <col min="1" max="1" width="11.50390625" style="0" customWidth="1"/>
    <col min="7" max="7" width="13.00390625" style="0" bestFit="1" customWidth="1"/>
  </cols>
  <sheetData>
    <row r="2" ht="12.75">
      <c r="A2" s="5" t="s">
        <v>197</v>
      </c>
    </row>
    <row r="3" spans="3:10" ht="12.75">
      <c r="C3" s="7" t="s">
        <v>198</v>
      </c>
      <c r="D3" s="7" t="s">
        <v>199</v>
      </c>
      <c r="E3" s="7" t="s">
        <v>203</v>
      </c>
      <c r="F3" s="7" t="s">
        <v>200</v>
      </c>
      <c r="G3" s="7" t="s">
        <v>201</v>
      </c>
      <c r="H3" s="7" t="s">
        <v>202</v>
      </c>
      <c r="J3" s="8" t="s">
        <v>216</v>
      </c>
    </row>
    <row r="5" ht="12.75">
      <c r="A5" s="1" t="s">
        <v>204</v>
      </c>
    </row>
    <row r="6" ht="12.75">
      <c r="A6" s="6" t="s">
        <v>206</v>
      </c>
    </row>
    <row r="7" spans="1:4" ht="12.75">
      <c r="A7" t="s">
        <v>205</v>
      </c>
      <c r="B7" t="s">
        <v>208</v>
      </c>
      <c r="D7" t="s">
        <v>209</v>
      </c>
    </row>
    <row r="8" spans="1:10" ht="12.75">
      <c r="A8">
        <v>0.33</v>
      </c>
      <c r="B8">
        <f>1-A8</f>
        <v>0.6699999999999999</v>
      </c>
      <c r="C8">
        <v>0.67</v>
      </c>
      <c r="D8">
        <v>0.03</v>
      </c>
      <c r="E8" s="4">
        <f>C8/SQRT((D8^2)/(C8^2)+1)</f>
        <v>0.669329366455974</v>
      </c>
      <c r="F8" s="3">
        <f>EXP(SQRT(LN((D8^2)/(C8^2)+1)))</f>
        <v>1.0457702558325397</v>
      </c>
      <c r="G8">
        <f>LOG(E8)</f>
        <v>-0.17436012014815389</v>
      </c>
      <c r="H8">
        <f>LOG(F8)</f>
        <v>0.01943628531205298</v>
      </c>
      <c r="J8" s="9">
        <f>STDEV(G15:G29)</f>
        <v>0.03408839184510548</v>
      </c>
    </row>
    <row r="9" ht="12.75">
      <c r="A9" s="6" t="s">
        <v>207</v>
      </c>
    </row>
    <row r="10" spans="1:2" ht="12.75">
      <c r="A10" t="s">
        <v>205</v>
      </c>
      <c r="B10" t="s">
        <v>208</v>
      </c>
    </row>
    <row r="11" spans="1:10" ht="12.75">
      <c r="A11">
        <v>0.27</v>
      </c>
      <c r="B11">
        <f>1-A11</f>
        <v>0.73</v>
      </c>
      <c r="C11">
        <v>0.73</v>
      </c>
      <c r="D11">
        <v>0.02</v>
      </c>
      <c r="E11" s="4">
        <f>C11/SQRT((D11^2)/(C11^2)+1)</f>
        <v>0.7297261815357531</v>
      </c>
      <c r="F11" s="3">
        <f>EXP(SQRT(LN((D11^2)/(C11^2)+1)))</f>
        <v>1.0277707344527267</v>
      </c>
      <c r="G11">
        <f>LOG(E11)</f>
        <v>-0.13684007160052666</v>
      </c>
      <c r="H11">
        <f>LOG(F11)</f>
        <v>0.011896247084662706</v>
      </c>
      <c r="J11" s="9">
        <f>STDEV(G32:G46)</f>
        <v>0.02350669924941004</v>
      </c>
    </row>
    <row r="13" spans="1:4" ht="12.75">
      <c r="A13" s="6" t="s">
        <v>206</v>
      </c>
      <c r="D13" s="2" t="s">
        <v>214</v>
      </c>
    </row>
    <row r="14" spans="2:8" ht="12.75">
      <c r="B14" t="s">
        <v>211</v>
      </c>
      <c r="C14" t="s">
        <v>210</v>
      </c>
      <c r="D14" t="s">
        <v>213</v>
      </c>
      <c r="E14" t="s">
        <v>212</v>
      </c>
      <c r="F14" t="s">
        <v>215</v>
      </c>
      <c r="G14" t="s">
        <v>196</v>
      </c>
      <c r="H14" t="s">
        <v>210</v>
      </c>
    </row>
    <row r="15" spans="1:8" ht="12.75">
      <c r="A15">
        <v>1</v>
      </c>
      <c r="B15">
        <f>(A15-(3/8))/15.25</f>
        <v>0.040983606557377046</v>
      </c>
      <c r="C15">
        <f>NORMSINV(B15)</f>
        <v>-1.739381332299672</v>
      </c>
      <c r="D15">
        <f>($H$8*C15)+$G$8</f>
        <v>-0.20816723198918913</v>
      </c>
      <c r="E15">
        <f>10^D15</f>
        <v>0.6192025953689138</v>
      </c>
      <c r="F15">
        <f>-LN(1-E15)</f>
        <v>0.9654877916577793</v>
      </c>
      <c r="G15">
        <f>LOG(F15)</f>
        <v>-0.015253213390729204</v>
      </c>
      <c r="H15">
        <v>-1.739381332299672</v>
      </c>
    </row>
    <row r="16" spans="1:8" ht="12.75">
      <c r="A16">
        <v>2</v>
      </c>
      <c r="B16">
        <f aca="true" t="shared" si="0" ref="B16:B29">(A16-(3/8))/15.25</f>
        <v>0.10655737704918032</v>
      </c>
      <c r="C16">
        <f aca="true" t="shared" si="1" ref="C16:C29">NORMSINV(B16)</f>
        <v>-1.2450482245185412</v>
      </c>
      <c r="D16">
        <f aca="true" t="shared" si="2" ref="D16:D29">($H$8*C16)+$G$8</f>
        <v>-0.19855923266716125</v>
      </c>
      <c r="E16">
        <f aca="true" t="shared" si="3" ref="E16:E29">10^D16</f>
        <v>0.6330540146893043</v>
      </c>
      <c r="F16">
        <f aca="true" t="shared" si="4" ref="F16:F29">-LN(1-E16)</f>
        <v>1.0025406207493872</v>
      </c>
      <c r="G16">
        <f aca="true" t="shared" si="5" ref="G16:G29">LOG(F16)</f>
        <v>0.0011019783095865382</v>
      </c>
      <c r="H16">
        <v>-1.2450482245185412</v>
      </c>
    </row>
    <row r="17" spans="1:8" ht="12.75">
      <c r="A17">
        <v>3</v>
      </c>
      <c r="B17">
        <f t="shared" si="0"/>
        <v>0.1721311475409836</v>
      </c>
      <c r="C17">
        <f t="shared" si="1"/>
        <v>-0.9457767191634048</v>
      </c>
      <c r="D17">
        <f t="shared" si="2"/>
        <v>-0.19274250630331122</v>
      </c>
      <c r="E17">
        <f t="shared" si="3"/>
        <v>0.6415898632039758</v>
      </c>
      <c r="F17">
        <f t="shared" si="4"/>
        <v>1.0260773148102817</v>
      </c>
      <c r="G17">
        <f t="shared" si="5"/>
        <v>0.011180086049107897</v>
      </c>
      <c r="H17">
        <v>-0.9457767191634048</v>
      </c>
    </row>
    <row r="18" spans="1:8" ht="12.75">
      <c r="A18">
        <v>4</v>
      </c>
      <c r="B18">
        <f t="shared" si="0"/>
        <v>0.23770491803278687</v>
      </c>
      <c r="C18">
        <f t="shared" si="1"/>
        <v>-0.7137043667171383</v>
      </c>
      <c r="D18">
        <f t="shared" si="2"/>
        <v>-0.18823188184812628</v>
      </c>
      <c r="E18">
        <f t="shared" si="3"/>
        <v>0.6482882021050367</v>
      </c>
      <c r="F18">
        <f t="shared" si="4"/>
        <v>1.044943194728002</v>
      </c>
      <c r="G18">
        <f t="shared" si="5"/>
        <v>0.019092681943032992</v>
      </c>
      <c r="H18">
        <v>-0.7137043667171383</v>
      </c>
    </row>
    <row r="19" spans="1:8" ht="12.75">
      <c r="A19">
        <v>5</v>
      </c>
      <c r="B19">
        <f t="shared" si="0"/>
        <v>0.30327868852459017</v>
      </c>
      <c r="C19">
        <f t="shared" si="1"/>
        <v>-0.5149945536686573</v>
      </c>
      <c r="D19">
        <f t="shared" si="2"/>
        <v>-0.18436970122741128</v>
      </c>
      <c r="E19">
        <f t="shared" si="3"/>
        <v>0.6540791400167724</v>
      </c>
      <c r="F19">
        <f t="shared" si="4"/>
        <v>1.061545258458911</v>
      </c>
      <c r="G19">
        <f t="shared" si="5"/>
        <v>0.025938514827931157</v>
      </c>
      <c r="H19">
        <v>-0.5149945536686573</v>
      </c>
    </row>
    <row r="20" spans="1:8" ht="12.75">
      <c r="A20">
        <v>6</v>
      </c>
      <c r="B20">
        <f t="shared" si="0"/>
        <v>0.36885245901639346</v>
      </c>
      <c r="C20">
        <f t="shared" si="1"/>
        <v>-0.33489413908682764</v>
      </c>
      <c r="D20">
        <f t="shared" si="2"/>
        <v>-0.18086921818477983</v>
      </c>
      <c r="E20">
        <f t="shared" si="3"/>
        <v>0.659372426295561</v>
      </c>
      <c r="F20">
        <f t="shared" si="4"/>
        <v>1.0769655577636281</v>
      </c>
      <c r="G20">
        <f t="shared" si="5"/>
        <v>0.0322018144285444</v>
      </c>
      <c r="H20">
        <v>-0.33489413908682764</v>
      </c>
    </row>
    <row r="21" spans="1:8" ht="12.75">
      <c r="A21">
        <v>7</v>
      </c>
      <c r="B21">
        <f t="shared" si="0"/>
        <v>0.4344262295081967</v>
      </c>
      <c r="C21">
        <f t="shared" si="1"/>
        <v>-0.1651164893701207</v>
      </c>
      <c r="D21">
        <f t="shared" si="2"/>
        <v>-0.17756937134527612</v>
      </c>
      <c r="E21">
        <f t="shared" si="3"/>
        <v>0.6644015372978337</v>
      </c>
      <c r="F21">
        <f t="shared" si="4"/>
        <v>1.0918398851440165</v>
      </c>
      <c r="G21">
        <f t="shared" si="5"/>
        <v>0.03815895512983083</v>
      </c>
      <c r="H21">
        <v>-0.1651164893701207</v>
      </c>
    </row>
    <row r="22" spans="1:8" ht="12.75">
      <c r="A22">
        <v>8</v>
      </c>
      <c r="B22">
        <f t="shared" si="0"/>
        <v>0.5</v>
      </c>
      <c r="C22">
        <f t="shared" si="1"/>
        <v>0</v>
      </c>
      <c r="D22">
        <f t="shared" si="2"/>
        <v>-0.17436012014815389</v>
      </c>
      <c r="E22">
        <f t="shared" si="3"/>
        <v>0.669329366455974</v>
      </c>
      <c r="F22">
        <f t="shared" si="4"/>
        <v>1.1066324638324152</v>
      </c>
      <c r="G22">
        <f t="shared" si="5"/>
        <v>0.04400340639546361</v>
      </c>
      <c r="H22">
        <v>0</v>
      </c>
    </row>
    <row r="23" spans="1:8" ht="12.75">
      <c r="A23">
        <v>9</v>
      </c>
      <c r="B23">
        <f t="shared" si="0"/>
        <v>0.5655737704918032</v>
      </c>
      <c r="C23">
        <f t="shared" si="1"/>
        <v>0.1651164893701207</v>
      </c>
      <c r="D23">
        <f t="shared" si="2"/>
        <v>-0.17115086895103165</v>
      </c>
      <c r="E23">
        <f t="shared" si="3"/>
        <v>0.674293745048227</v>
      </c>
      <c r="F23">
        <f t="shared" si="4"/>
        <v>1.1217593622427442</v>
      </c>
      <c r="G23">
        <f t="shared" si="5"/>
        <v>0.04989970285712401</v>
      </c>
      <c r="H23">
        <v>0.1651164893701207</v>
      </c>
    </row>
    <row r="24" spans="1:8" ht="12.75">
      <c r="A24">
        <v>10</v>
      </c>
      <c r="B24">
        <f t="shared" si="0"/>
        <v>0.6311475409836066</v>
      </c>
      <c r="C24">
        <f t="shared" si="1"/>
        <v>0.33489413908682764</v>
      </c>
      <c r="D24">
        <f t="shared" si="2"/>
        <v>-0.16785102211152794</v>
      </c>
      <c r="E24">
        <f t="shared" si="3"/>
        <v>0.679436662702575</v>
      </c>
      <c r="F24">
        <f t="shared" si="4"/>
        <v>1.1376754018729491</v>
      </c>
      <c r="G24">
        <f t="shared" si="5"/>
        <v>0.056018368136171844</v>
      </c>
      <c r="H24">
        <v>0.33489413908682764</v>
      </c>
    </row>
    <row r="25" spans="1:8" ht="12.75">
      <c r="A25">
        <v>11</v>
      </c>
      <c r="B25">
        <f t="shared" si="0"/>
        <v>0.6967213114754098</v>
      </c>
      <c r="C25">
        <f t="shared" si="1"/>
        <v>0.5149945536686573</v>
      </c>
      <c r="D25">
        <f t="shared" si="2"/>
        <v>-0.1643505390688965</v>
      </c>
      <c r="E25">
        <f t="shared" si="3"/>
        <v>0.684935160581436</v>
      </c>
      <c r="F25">
        <f t="shared" si="4"/>
        <v>1.154976821914519</v>
      </c>
      <c r="G25">
        <f t="shared" si="5"/>
        <v>0.06257326888995679</v>
      </c>
      <c r="H25">
        <v>0.5149945536686573</v>
      </c>
    </row>
    <row r="26" spans="1:8" ht="12.75">
      <c r="A26">
        <v>12</v>
      </c>
      <c r="B26">
        <f t="shared" si="0"/>
        <v>0.7622950819672131</v>
      </c>
      <c r="C26">
        <f t="shared" si="1"/>
        <v>0.7137043667171383</v>
      </c>
      <c r="D26">
        <f t="shared" si="2"/>
        <v>-0.1604883584481815</v>
      </c>
      <c r="E26">
        <f t="shared" si="3"/>
        <v>0.6910534533031183</v>
      </c>
      <c r="F26">
        <f t="shared" si="4"/>
        <v>1.174587005084529</v>
      </c>
      <c r="G26">
        <f t="shared" si="5"/>
        <v>0.06988519176379128</v>
      </c>
      <c r="H26">
        <v>0.7137043667171383</v>
      </c>
    </row>
    <row r="27" spans="1:8" ht="12.75">
      <c r="A27">
        <v>13</v>
      </c>
      <c r="B27">
        <f t="shared" si="0"/>
        <v>0.8278688524590164</v>
      </c>
      <c r="C27">
        <f t="shared" si="1"/>
        <v>0.9457767191634048</v>
      </c>
      <c r="D27">
        <f t="shared" si="2"/>
        <v>-0.15597773399299655</v>
      </c>
      <c r="E27">
        <f t="shared" si="3"/>
        <v>0.6982682029343811</v>
      </c>
      <c r="F27">
        <f t="shared" si="4"/>
        <v>1.1982167453787964</v>
      </c>
      <c r="G27">
        <f t="shared" si="5"/>
        <v>0.07853538467079707</v>
      </c>
      <c r="H27">
        <v>0.9457767191634048</v>
      </c>
    </row>
    <row r="28" spans="1:8" ht="12.75">
      <c r="A28">
        <v>14</v>
      </c>
      <c r="B28">
        <f t="shared" si="0"/>
        <v>0.8934426229508197</v>
      </c>
      <c r="C28">
        <f t="shared" si="1"/>
        <v>1.2450482245185412</v>
      </c>
      <c r="D28">
        <f t="shared" si="2"/>
        <v>-0.15016100762914653</v>
      </c>
      <c r="E28">
        <f t="shared" si="3"/>
        <v>0.7076833736221224</v>
      </c>
      <c r="F28">
        <f t="shared" si="4"/>
        <v>1.2299177272719457</v>
      </c>
      <c r="G28">
        <f t="shared" si="5"/>
        <v>0.08987606120619518</v>
      </c>
      <c r="H28">
        <v>1.2450482245185412</v>
      </c>
    </row>
    <row r="29" spans="1:8" ht="12.75">
      <c r="A29">
        <v>15</v>
      </c>
      <c r="B29">
        <f t="shared" si="0"/>
        <v>0.9590163934426229</v>
      </c>
      <c r="C29">
        <f t="shared" si="1"/>
        <v>1.739381332299672</v>
      </c>
      <c r="D29">
        <f t="shared" si="2"/>
        <v>-0.14055300830711864</v>
      </c>
      <c r="E29">
        <f t="shared" si="3"/>
        <v>0.7235140875555298</v>
      </c>
      <c r="F29">
        <f t="shared" si="4"/>
        <v>1.2855954088856407</v>
      </c>
      <c r="G29">
        <f t="shared" si="5"/>
        <v>0.10910431280694313</v>
      </c>
      <c r="H29">
        <v>1.739381332299672</v>
      </c>
    </row>
    <row r="30" ht="12.75">
      <c r="A30" s="6" t="s">
        <v>207</v>
      </c>
    </row>
    <row r="31" spans="2:8" ht="12.75">
      <c r="B31" t="s">
        <v>211</v>
      </c>
      <c r="C31" t="s">
        <v>210</v>
      </c>
      <c r="D31" t="s">
        <v>213</v>
      </c>
      <c r="E31" t="s">
        <v>212</v>
      </c>
      <c r="F31" t="s">
        <v>215</v>
      </c>
      <c r="G31" t="s">
        <v>196</v>
      </c>
      <c r="H31" t="s">
        <v>210</v>
      </c>
    </row>
    <row r="32" spans="1:8" ht="12.75">
      <c r="A32">
        <v>1</v>
      </c>
      <c r="B32">
        <f>(A32-(3/8))/15.25</f>
        <v>0.040983606557377046</v>
      </c>
      <c r="C32">
        <f>NORMSINV(B32)</f>
        <v>-1.739381332299672</v>
      </c>
      <c r="D32">
        <f>($H$11*C32)+$G$11</f>
        <v>-0.15753218170401337</v>
      </c>
      <c r="E32">
        <f>10^D32</f>
        <v>0.6957733952080859</v>
      </c>
      <c r="F32">
        <f>-LN(1-E32)</f>
        <v>1.1899824447566225</v>
      </c>
      <c r="G32">
        <f>LOG(F32)</f>
        <v>0.07554055450045957</v>
      </c>
      <c r="H32">
        <v>-1.739381332299672</v>
      </c>
    </row>
    <row r="33" spans="1:8" ht="12.75">
      <c r="A33">
        <v>2</v>
      </c>
      <c r="B33">
        <f aca="true" t="shared" si="6" ref="B33:B46">(A33-(3/8))/15.25</f>
        <v>0.10655737704918032</v>
      </c>
      <c r="C33">
        <f aca="true" t="shared" si="7" ref="C33:C46">NORMSINV(B33)</f>
        <v>-1.2450482245185412</v>
      </c>
      <c r="D33">
        <f aca="true" t="shared" si="8" ref="D33:D46">($H$11*C33)+$G$11</f>
        <v>-0.15165147291171985</v>
      </c>
      <c r="E33">
        <f aca="true" t="shared" si="9" ref="E33:E46">10^D33</f>
        <v>0.7052588214934863</v>
      </c>
      <c r="F33">
        <f aca="true" t="shared" si="10" ref="F33:F46">-LN(1-E33)</f>
        <v>1.2216576687436116</v>
      </c>
      <c r="G33">
        <f aca="true" t="shared" si="11" ref="G33:G46">LOG(F33)</f>
        <v>0.08694952554311405</v>
      </c>
      <c r="H33">
        <v>-1.2450482245185412</v>
      </c>
    </row>
    <row r="34" spans="1:8" ht="12.75">
      <c r="A34">
        <v>3</v>
      </c>
      <c r="B34">
        <f t="shared" si="6"/>
        <v>0.1721311475409836</v>
      </c>
      <c r="C34">
        <f t="shared" si="7"/>
        <v>-0.9457767191634048</v>
      </c>
      <c r="D34">
        <f t="shared" si="8"/>
        <v>-0.14809126513861617</v>
      </c>
      <c r="E34">
        <f t="shared" si="9"/>
        <v>0.7110640708606705</v>
      </c>
      <c r="F34">
        <f t="shared" si="10"/>
        <v>1.2415503139282742</v>
      </c>
      <c r="G34">
        <f t="shared" si="11"/>
        <v>0.09396432406669937</v>
      </c>
      <c r="H34">
        <v>-0.9457767191634048</v>
      </c>
    </row>
    <row r="35" spans="1:8" ht="12.75">
      <c r="A35">
        <v>4</v>
      </c>
      <c r="B35">
        <f t="shared" si="6"/>
        <v>0.23770491803278687</v>
      </c>
      <c r="C35">
        <f t="shared" si="7"/>
        <v>-0.7137043667171383</v>
      </c>
      <c r="D35">
        <f t="shared" si="8"/>
        <v>-0.14533047509239647</v>
      </c>
      <c r="E35">
        <f t="shared" si="9"/>
        <v>0.7155986703034266</v>
      </c>
      <c r="F35">
        <f t="shared" si="10"/>
        <v>1.257368905618927</v>
      </c>
      <c r="G35">
        <f t="shared" si="11"/>
        <v>0.09946271616599515</v>
      </c>
      <c r="H35">
        <v>-0.7137043667171383</v>
      </c>
    </row>
    <row r="36" spans="1:8" ht="12.75">
      <c r="A36">
        <v>5</v>
      </c>
      <c r="B36">
        <f t="shared" si="6"/>
        <v>0.30327868852459017</v>
      </c>
      <c r="C36">
        <f t="shared" si="7"/>
        <v>-0.5149945536686573</v>
      </c>
      <c r="D36">
        <f t="shared" si="8"/>
        <v>-0.1429665740582246</v>
      </c>
      <c r="E36">
        <f t="shared" si="9"/>
        <v>0.7195043532988621</v>
      </c>
      <c r="F36">
        <f t="shared" si="10"/>
        <v>1.2711970739218585</v>
      </c>
      <c r="G36">
        <f t="shared" si="11"/>
        <v>0.10421288452889124</v>
      </c>
      <c r="H36">
        <v>-0.5149945536686573</v>
      </c>
    </row>
    <row r="37" spans="1:8" ht="12.75">
      <c r="A37">
        <v>6</v>
      </c>
      <c r="B37">
        <f t="shared" si="6"/>
        <v>0.36885245901639346</v>
      </c>
      <c r="C37">
        <f t="shared" si="7"/>
        <v>-0.33489413908682764</v>
      </c>
      <c r="D37">
        <f t="shared" si="8"/>
        <v>-0.14082405502630896</v>
      </c>
      <c r="E37">
        <f t="shared" si="9"/>
        <v>0.7230626774066434</v>
      </c>
      <c r="F37">
        <f t="shared" si="10"/>
        <v>1.2839640706243707</v>
      </c>
      <c r="G37">
        <f t="shared" si="11"/>
        <v>0.10855287096967585</v>
      </c>
      <c r="H37">
        <v>-0.33489413908682764</v>
      </c>
    </row>
    <row r="38" spans="1:8" ht="12.75">
      <c r="A38">
        <v>7</v>
      </c>
      <c r="B38">
        <f t="shared" si="6"/>
        <v>0.4344262295081967</v>
      </c>
      <c r="C38">
        <f t="shared" si="7"/>
        <v>-0.1651164893701207</v>
      </c>
      <c r="D38">
        <f t="shared" si="8"/>
        <v>-0.1388043381558257</v>
      </c>
      <c r="E38">
        <f t="shared" si="9"/>
        <v>0.7264331622350374</v>
      </c>
      <c r="F38">
        <f t="shared" si="10"/>
        <v>1.2962093075793093</v>
      </c>
      <c r="G38">
        <f t="shared" si="11"/>
        <v>0.11267513562956935</v>
      </c>
      <c r="H38">
        <v>-0.1651164893701207</v>
      </c>
    </row>
    <row r="39" spans="1:8" ht="12.75">
      <c r="A39">
        <v>8</v>
      </c>
      <c r="B39">
        <f t="shared" si="6"/>
        <v>0.5</v>
      </c>
      <c r="C39">
        <f t="shared" si="7"/>
        <v>0</v>
      </c>
      <c r="D39">
        <f t="shared" si="8"/>
        <v>-0.13684007160052666</v>
      </c>
      <c r="E39">
        <f t="shared" si="9"/>
        <v>0.729726181535753</v>
      </c>
      <c r="F39">
        <f t="shared" si="10"/>
        <v>1.3083196914186404</v>
      </c>
      <c r="G39">
        <f t="shared" si="11"/>
        <v>0.11671387797498846</v>
      </c>
      <c r="H39">
        <v>0</v>
      </c>
    </row>
    <row r="40" spans="1:8" ht="12.75">
      <c r="A40">
        <v>9</v>
      </c>
      <c r="B40">
        <f t="shared" si="6"/>
        <v>0.5655737704918032</v>
      </c>
      <c r="C40">
        <f t="shared" si="7"/>
        <v>0.1651164893701207</v>
      </c>
      <c r="D40">
        <f t="shared" si="8"/>
        <v>-0.13487580504522761</v>
      </c>
      <c r="E40">
        <f t="shared" si="9"/>
        <v>0.7330341285361919</v>
      </c>
      <c r="F40">
        <f t="shared" si="10"/>
        <v>1.3206344509847736</v>
      </c>
      <c r="G40">
        <f t="shared" si="11"/>
        <v>0.12078262239135229</v>
      </c>
      <c r="H40">
        <v>0.1651164893701207</v>
      </c>
    </row>
    <row r="41" spans="1:8" ht="12.75">
      <c r="A41">
        <v>10</v>
      </c>
      <c r="B41">
        <f t="shared" si="6"/>
        <v>0.6311475409836066</v>
      </c>
      <c r="C41">
        <f t="shared" si="7"/>
        <v>0.33489413908682764</v>
      </c>
      <c r="D41">
        <f t="shared" si="8"/>
        <v>-0.13285608817474437</v>
      </c>
      <c r="E41">
        <f t="shared" si="9"/>
        <v>0.736451094293279</v>
      </c>
      <c r="F41">
        <f t="shared" si="10"/>
        <v>1.3335163278173312</v>
      </c>
      <c r="G41">
        <f t="shared" si="11"/>
        <v>0.1249983376393603</v>
      </c>
      <c r="H41">
        <v>0.33489413908682764</v>
      </c>
    </row>
    <row r="42" spans="1:8" ht="12.75">
      <c r="A42">
        <v>11</v>
      </c>
      <c r="B42">
        <f t="shared" si="6"/>
        <v>0.6967213114754098</v>
      </c>
      <c r="C42">
        <f t="shared" si="7"/>
        <v>0.5149945536686573</v>
      </c>
      <c r="D42">
        <f t="shared" si="8"/>
        <v>-0.13071356914282872</v>
      </c>
      <c r="E42">
        <f t="shared" si="9"/>
        <v>0.7400932288696866</v>
      </c>
      <c r="F42">
        <f t="shared" si="10"/>
        <v>1.347432284844845</v>
      </c>
      <c r="G42">
        <f t="shared" si="11"/>
        <v>0.12950694895549647</v>
      </c>
      <c r="H42">
        <v>0.5149945536686573</v>
      </c>
    </row>
    <row r="43" spans="1:8" ht="12.75">
      <c r="A43">
        <v>12</v>
      </c>
      <c r="B43">
        <f t="shared" si="6"/>
        <v>0.7622950819672131</v>
      </c>
      <c r="C43">
        <f t="shared" si="7"/>
        <v>0.7137043667171383</v>
      </c>
      <c r="D43">
        <f t="shared" si="8"/>
        <v>-0.12834966810865686</v>
      </c>
      <c r="E43">
        <f t="shared" si="9"/>
        <v>0.7441326012986595</v>
      </c>
      <c r="F43">
        <f t="shared" si="10"/>
        <v>1.3630959425202456</v>
      </c>
      <c r="G43">
        <f t="shared" si="11"/>
        <v>0.13452642505015114</v>
      </c>
      <c r="H43">
        <v>0.7137043667171383</v>
      </c>
    </row>
    <row r="44" spans="1:8" ht="12.75">
      <c r="A44">
        <v>13</v>
      </c>
      <c r="B44">
        <f t="shared" si="6"/>
        <v>0.8278688524590164</v>
      </c>
      <c r="C44">
        <f t="shared" si="7"/>
        <v>0.9457767191634048</v>
      </c>
      <c r="D44">
        <f t="shared" si="8"/>
        <v>-0.12558887806243715</v>
      </c>
      <c r="E44">
        <f t="shared" si="9"/>
        <v>0.7488780854504623</v>
      </c>
      <c r="F44">
        <f t="shared" si="10"/>
        <v>1.3818167424350611</v>
      </c>
      <c r="G44">
        <f t="shared" si="11"/>
        <v>0.1404504503996268</v>
      </c>
      <c r="H44">
        <v>0.9457767191634048</v>
      </c>
    </row>
    <row r="45" spans="1:8" ht="12.75">
      <c r="A45">
        <v>14</v>
      </c>
      <c r="B45">
        <f t="shared" si="6"/>
        <v>0.8934426229508197</v>
      </c>
      <c r="C45">
        <f t="shared" si="7"/>
        <v>1.2450482245185412</v>
      </c>
      <c r="D45">
        <f t="shared" si="8"/>
        <v>-0.1220286702893335</v>
      </c>
      <c r="E45">
        <f t="shared" si="9"/>
        <v>0.7550423813077662</v>
      </c>
      <c r="F45">
        <f t="shared" si="10"/>
        <v>1.4066700683306868</v>
      </c>
      <c r="G45">
        <f t="shared" si="11"/>
        <v>0.1481922464710116</v>
      </c>
      <c r="H45">
        <v>1.2450482245185412</v>
      </c>
    </row>
    <row r="46" spans="1:8" ht="12.75">
      <c r="A46">
        <v>15</v>
      </c>
      <c r="B46">
        <f t="shared" si="6"/>
        <v>0.9590163934426229</v>
      </c>
      <c r="C46">
        <f t="shared" si="7"/>
        <v>1.739381332299672</v>
      </c>
      <c r="D46">
        <f t="shared" si="8"/>
        <v>-0.11614796149703996</v>
      </c>
      <c r="E46">
        <f t="shared" si="9"/>
        <v>0.765335817216028</v>
      </c>
      <c r="F46">
        <f t="shared" si="10"/>
        <v>1.4495997962756149</v>
      </c>
      <c r="G46">
        <f t="shared" si="11"/>
        <v>0.16124811929770574</v>
      </c>
      <c r="H46">
        <v>1.739381332299672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Goble</dc:creator>
  <cp:keywords/>
  <dc:description/>
  <cp:lastModifiedBy>Rob Goble</cp:lastModifiedBy>
  <dcterms:created xsi:type="dcterms:W3CDTF">1999-11-05T20:41:05Z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