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0" yWindow="1560" windowWidth="21640" windowHeight="11100" firstSheet="1" activeTab="1"/>
  </bookViews>
  <sheets>
    <sheet name="female" sheetId="1" r:id="rId1"/>
    <sheet name="Sexual Maturity Anal" sheetId="2" r:id="rId2"/>
    <sheet name="male" sheetId="3" r:id="rId3"/>
  </sheets>
  <definedNames/>
  <calcPr fullCalcOnLoad="1"/>
</workbook>
</file>

<file path=xl/sharedStrings.xml><?xml version="1.0" encoding="utf-8"?>
<sst xmlns="http://schemas.openxmlformats.org/spreadsheetml/2006/main" count="692" uniqueCount="117">
  <si>
    <t>Liver Weight</t>
  </si>
  <si>
    <t>Females</t>
  </si>
  <si>
    <t>Begin Fetal Dosing (GD12)</t>
  </si>
  <si>
    <t>Birth (GD20)</t>
  </si>
  <si>
    <t>Weaning (PND21)</t>
  </si>
  <si>
    <t>Fractions of PND70 "adult" body, brain, and liver weights corresponding to divisions between mouse dosing periods:</t>
  </si>
  <si>
    <t>GD13</t>
  </si>
  <si>
    <t>Corresponding Human Ages Based on:</t>
  </si>
  <si>
    <t>Units</t>
  </si>
  <si>
    <t>Weeks gestation</t>
  </si>
  <si>
    <t>Years postnatal</t>
  </si>
  <si>
    <t>Days postnatal for body weight, weeks gestation for brain and liver weight</t>
  </si>
  <si>
    <t>Mean, 3 measures</t>
  </si>
  <si>
    <t>Fetal</t>
  </si>
  <si>
    <t>Birth-Weaning</t>
  </si>
  <si>
    <t>Weaning-60 Days</t>
  </si>
  <si>
    <t>60 Days+</t>
  </si>
  <si>
    <t>Human equivalent length (days)</t>
  </si>
  <si>
    <t>Total</t>
  </si>
  <si>
    <t>Analysis#2 based on age 15 as end of adolescent period:</t>
  </si>
  <si>
    <t>24 days postnatal</t>
  </si>
  <si>
    <t>Weeks gestation (exc. body weight)</t>
  </si>
  <si>
    <t>Corresponding Time in Human Males</t>
  </si>
  <si>
    <t>Corresponding Time in Human Females</t>
  </si>
  <si>
    <t>Female Mouse Time/Event</t>
  </si>
  <si>
    <t>Male Mouse Time/Event</t>
  </si>
  <si>
    <t>Analysis#3 based on equivalent sexual maturity analyses:</t>
  </si>
  <si>
    <t>Species</t>
  </si>
  <si>
    <t>Male</t>
  </si>
  <si>
    <t>Female</t>
  </si>
  <si>
    <t>Mouse (months)</t>
  </si>
  <si>
    <t>Rat (months)</t>
  </si>
  <si>
    <t>1.8-2.1</t>
  </si>
  <si>
    <t>Mouse-Rat Average</t>
  </si>
  <si>
    <t>Human (Years)</t>
  </si>
  <si>
    <t>Source:  Kilborn et al. (2002) Contemp Top Lab Animal Sci 41(5):21-26.</t>
  </si>
  <si>
    <t>Fractions of Sexual Maturity (PND45male; PND30 female) body, brain, and liver weights corresponding to divisions between mouse dosing periods:</t>
  </si>
  <si>
    <t>Fract Sexual Maturity Wt</t>
  </si>
  <si>
    <t>Log(Fract Sex mat wt)</t>
  </si>
  <si>
    <t>Analysis based on Sprague-Dawley Rat Data from Hugh Barton:</t>
  </si>
  <si>
    <t>Birth (GD22)</t>
  </si>
  <si>
    <t>Female Rat Time/Event</t>
  </si>
  <si>
    <t>Male Rat Time/Event</t>
  </si>
  <si>
    <t>Log(body weight g)</t>
  </si>
  <si>
    <t>days postnatal</t>
  </si>
  <si>
    <t>Fraction of Mouse Weight at Sexual Maturity</t>
  </si>
  <si>
    <t>Days postnatal</t>
  </si>
  <si>
    <t>Days gestation</t>
  </si>
  <si>
    <t>Rat day 12 average</t>
  </si>
  <si>
    <t>fract sexmat adult (malefemave)</t>
  </si>
  <si>
    <t>Goedbloed JF. 1972. The embryonic and postnatal growth of rat and mouse. I. The embryonic and early postnatal growth of the whole embryo.  A model with exponential growth and sudden changes in growth rate. Acta Anat. 82: 305-336.</t>
  </si>
  <si>
    <t>This from Luecke (1997) equation</t>
  </si>
  <si>
    <t>days gestation</t>
  </si>
  <si>
    <t>fetal GD12</t>
  </si>
  <si>
    <t xml:space="preserve">Human </t>
  </si>
  <si>
    <t>OLDER CALCULATIONS equating Day 60 in rodents with 18 years:</t>
  </si>
  <si>
    <t>Human Equiv Length (days)</t>
  </si>
  <si>
    <t>Assumption: more typical, rather than minimum</t>
  </si>
  <si>
    <t>pregnancy length is 39, rather than minimal 37 weeks</t>
  </si>
  <si>
    <t>Organ weight calculations need updating</t>
  </si>
  <si>
    <t>Corresponding Human Ages</t>
  </si>
  <si>
    <t>Units of Human Age</t>
  </si>
  <si>
    <t>Source of Human Weight Data</t>
  </si>
  <si>
    <t>Fraction of Rat Weight at Sexual Maturity</t>
  </si>
  <si>
    <t>Fraction of 70 Year + Fetal Lifespan</t>
  </si>
  <si>
    <t xml:space="preserve">NHANES III </t>
  </si>
  <si>
    <t>Potter and Craig (1975)</t>
  </si>
  <si>
    <t>Tentative quantification of lognormal uncertainties based on two estimates in each case</t>
  </si>
  <si>
    <t>Mouse-Based Estimate</t>
  </si>
  <si>
    <t>Rat-Based Estimate</t>
  </si>
  <si>
    <t>Length of the Fetal Period in Males (days)</t>
  </si>
  <si>
    <t>Geometric Mean</t>
  </si>
  <si>
    <t>Geometric Standard Deviation</t>
  </si>
  <si>
    <t>Log(mouse)</t>
  </si>
  <si>
    <t>Log(rat)</t>
  </si>
  <si>
    <t>For two cases:</t>
  </si>
  <si>
    <t>% Score</t>
  </si>
  <si>
    <t>Z-Score</t>
  </si>
  <si>
    <t>Length of Birth-Weaning Period in Males</t>
  </si>
  <si>
    <t>Length of Weaning-60 Day Period in Males</t>
  </si>
  <si>
    <t>Length of the Fetal Period in Females</t>
  </si>
  <si>
    <t>Length of Birth-Weaning Period in Females</t>
  </si>
  <si>
    <t>Length of Weaning-60 Day Period in Females</t>
  </si>
  <si>
    <t>Log(Gmean)</t>
  </si>
  <si>
    <t>Log(GSD)</t>
  </si>
  <si>
    <t>days</t>
  </si>
  <si>
    <t>MALES</t>
  </si>
  <si>
    <t>kidney</t>
  </si>
  <si>
    <t>liver</t>
  </si>
  <si>
    <t>lung</t>
  </si>
  <si>
    <t>brain</t>
  </si>
  <si>
    <t>spleen</t>
  </si>
  <si>
    <t>thymus</t>
  </si>
  <si>
    <t>ovaries</t>
  </si>
  <si>
    <t>Birth</t>
  </si>
  <si>
    <t>Days</t>
  </si>
  <si>
    <t>FEMALES</t>
  </si>
  <si>
    <t>body weight</t>
  </si>
  <si>
    <t>testes</t>
  </si>
  <si>
    <t>T. Nomura 1976. Comparison of tumour susceptibility among various organs of foetal, young and adult ICR/Jcl mice. Br J Cancer 33: 521-33</t>
  </si>
  <si>
    <t>N=10, weight in mg.</t>
  </si>
  <si>
    <t>Birth is at day 20</t>
  </si>
  <si>
    <t>Male Female averages:</t>
  </si>
  <si>
    <t>Fraction of adult (90 day) weight</t>
  </si>
  <si>
    <t>Change in % adult weight per day</t>
  </si>
  <si>
    <t>day 1 PN</t>
  </si>
  <si>
    <t>day15 PN</t>
  </si>
  <si>
    <t>mg</t>
  </si>
  <si>
    <t>g</t>
  </si>
  <si>
    <t>Males:</t>
  </si>
  <si>
    <t>Females:</t>
  </si>
  <si>
    <t>Fract Adult Wt</t>
  </si>
  <si>
    <t>Log(Fract Adult wt)</t>
  </si>
  <si>
    <t>60 day postnatal = "adult"</t>
  </si>
  <si>
    <t>Males</t>
  </si>
  <si>
    <t>Body Weight</t>
  </si>
  <si>
    <t>Brain Weight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</si>
</sst>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000"/>
    <numFmt numFmtId="172" formatCode="0.000000000"/>
    <numFmt numFmtId="173" formatCode="0.000E+00;\㇠"/>
    <numFmt numFmtId="174" formatCode="0.000E+00;\ޖ"/>
    <numFmt numFmtId="175" formatCode="0.00E+00;\ޖ"/>
    <numFmt numFmtId="176" formatCode="0.0E+00;\ޖ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12"/>
      <name val="Times New Roman"/>
      <family val="0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center" wrapText="1"/>
    </xf>
    <xf numFmtId="169" fontId="0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2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left" wrapText="1"/>
    </xf>
    <xf numFmtId="169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 wrapText="1"/>
    </xf>
    <xf numFmtId="176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2" sqref="A2"/>
    </sheetView>
  </sheetViews>
  <sheetFormatPr defaultColWidth="11.00390625" defaultRowHeight="12.75"/>
  <sheetData>
    <row r="1" ht="12.75">
      <c r="A1" t="s">
        <v>99</v>
      </c>
    </row>
    <row r="3" ht="12.75">
      <c r="A3" t="s">
        <v>100</v>
      </c>
    </row>
    <row r="5" ht="12.75">
      <c r="A5" t="s">
        <v>96</v>
      </c>
    </row>
    <row r="6" spans="1:9" ht="12.75">
      <c r="A6" t="s">
        <v>95</v>
      </c>
      <c r="B6" t="s">
        <v>97</v>
      </c>
      <c r="C6" t="s">
        <v>90</v>
      </c>
      <c r="D6" t="s">
        <v>87</v>
      </c>
      <c r="E6" t="s">
        <v>88</v>
      </c>
      <c r="F6" t="s">
        <v>89</v>
      </c>
      <c r="G6" t="s">
        <v>91</v>
      </c>
      <c r="H6" t="s">
        <v>92</v>
      </c>
      <c r="I6" t="s">
        <v>93</v>
      </c>
    </row>
    <row r="7" spans="1:9" ht="12.75">
      <c r="A7" s="1">
        <v>69.49</v>
      </c>
      <c r="B7">
        <v>27260</v>
      </c>
      <c r="C7">
        <v>452.2</v>
      </c>
      <c r="D7">
        <v>226.5</v>
      </c>
      <c r="E7">
        <v>1561</v>
      </c>
      <c r="F7">
        <v>191.7</v>
      </c>
      <c r="G7">
        <v>127.8</v>
      </c>
      <c r="H7">
        <v>65.58</v>
      </c>
      <c r="I7">
        <v>4.767</v>
      </c>
    </row>
    <row r="8" spans="1:9" ht="12.75">
      <c r="A8" s="1">
        <v>62.51</v>
      </c>
      <c r="B8">
        <v>26270</v>
      </c>
      <c r="C8">
        <v>467.7</v>
      </c>
      <c r="D8">
        <v>193.8</v>
      </c>
      <c r="E8">
        <v>1615</v>
      </c>
      <c r="F8">
        <v>184.6</v>
      </c>
      <c r="G8">
        <v>123.1</v>
      </c>
      <c r="H8">
        <v>56.08</v>
      </c>
      <c r="I8">
        <v>3.884</v>
      </c>
    </row>
    <row r="9" spans="1:9" ht="12.75">
      <c r="A9" s="1">
        <v>55.35</v>
      </c>
      <c r="B9">
        <v>26540</v>
      </c>
      <c r="C9">
        <v>472.7</v>
      </c>
      <c r="D9">
        <v>169.6</v>
      </c>
      <c r="E9">
        <v>1671</v>
      </c>
      <c r="F9">
        <v>186.6</v>
      </c>
      <c r="G9">
        <v>140.2</v>
      </c>
      <c r="H9">
        <v>70.26</v>
      </c>
      <c r="I9">
        <v>3.832</v>
      </c>
    </row>
    <row r="10" spans="1:9" ht="12.75">
      <c r="A10" s="1">
        <v>48.19</v>
      </c>
      <c r="B10">
        <v>25570</v>
      </c>
      <c r="C10">
        <v>466.4</v>
      </c>
      <c r="D10">
        <v>184.1</v>
      </c>
      <c r="E10">
        <v>1572</v>
      </c>
      <c r="F10">
        <v>207.4</v>
      </c>
      <c r="G10">
        <v>128.8</v>
      </c>
      <c r="H10">
        <v>62.99</v>
      </c>
      <c r="I10">
        <v>3.871</v>
      </c>
    </row>
    <row r="11" spans="1:9" ht="12.75">
      <c r="A11" s="1">
        <v>41.21</v>
      </c>
      <c r="B11">
        <v>25840</v>
      </c>
      <c r="C11">
        <v>471.3</v>
      </c>
      <c r="D11">
        <v>153.7</v>
      </c>
      <c r="E11">
        <v>1410</v>
      </c>
      <c r="F11">
        <v>177.3</v>
      </c>
      <c r="G11">
        <v>139.7</v>
      </c>
      <c r="H11">
        <v>95.44</v>
      </c>
      <c r="I11">
        <v>3.474</v>
      </c>
    </row>
    <row r="12" spans="1:9" ht="12.75">
      <c r="A12" s="1">
        <v>34.05</v>
      </c>
      <c r="B12">
        <v>24310</v>
      </c>
      <c r="C12">
        <v>454</v>
      </c>
      <c r="D12">
        <v>148.1</v>
      </c>
      <c r="E12">
        <v>1426</v>
      </c>
      <c r="F12">
        <v>179.2</v>
      </c>
      <c r="G12">
        <v>144.8</v>
      </c>
      <c r="H12">
        <v>125.5</v>
      </c>
      <c r="I12">
        <v>3.511</v>
      </c>
    </row>
    <row r="13" spans="1:9" ht="12.75">
      <c r="A13" s="1">
        <v>27.48</v>
      </c>
      <c r="B13">
        <v>16010</v>
      </c>
      <c r="C13">
        <v>448.1</v>
      </c>
      <c r="D13">
        <v>118.1</v>
      </c>
      <c r="E13">
        <v>757.2</v>
      </c>
      <c r="F13">
        <v>153.3</v>
      </c>
      <c r="G13">
        <v>99.91</v>
      </c>
      <c r="H13">
        <v>120.8</v>
      </c>
      <c r="I13">
        <v>2.424</v>
      </c>
    </row>
    <row r="14" spans="1:8" ht="12.75">
      <c r="A14" s="1">
        <v>20.35</v>
      </c>
      <c r="B14">
        <v>12440</v>
      </c>
      <c r="C14">
        <v>392.5</v>
      </c>
      <c r="D14">
        <v>89.54</v>
      </c>
      <c r="E14">
        <v>534.9</v>
      </c>
      <c r="F14">
        <v>128</v>
      </c>
      <c r="G14">
        <v>103.4</v>
      </c>
      <c r="H14">
        <v>61.15</v>
      </c>
    </row>
    <row r="15" spans="1:9" ht="12.75">
      <c r="A15" s="1">
        <v>13.24</v>
      </c>
      <c r="B15">
        <v>7443</v>
      </c>
      <c r="C15">
        <v>396.5</v>
      </c>
      <c r="D15">
        <v>64.8</v>
      </c>
      <c r="E15">
        <v>319.9</v>
      </c>
      <c r="F15">
        <v>117.6</v>
      </c>
      <c r="G15">
        <v>63.36</v>
      </c>
      <c r="H15">
        <v>46.43</v>
      </c>
      <c r="I15">
        <v>0.6994</v>
      </c>
    </row>
    <row r="16" spans="1:7" ht="12.75">
      <c r="A16" s="1">
        <v>6.306</v>
      </c>
      <c r="B16">
        <v>5138</v>
      </c>
      <c r="C16">
        <v>339.1</v>
      </c>
      <c r="D16">
        <v>45.79</v>
      </c>
      <c r="E16">
        <v>166</v>
      </c>
      <c r="F16">
        <v>87.21</v>
      </c>
      <c r="G16">
        <v>31.31</v>
      </c>
    </row>
    <row r="17" spans="1:8" ht="12.75">
      <c r="A17" s="1">
        <v>5.401</v>
      </c>
      <c r="B17">
        <v>4552</v>
      </c>
      <c r="C17">
        <v>220.3</v>
      </c>
      <c r="F17">
        <v>97.97</v>
      </c>
      <c r="H17">
        <v>24.59</v>
      </c>
    </row>
    <row r="18" spans="1:7" ht="12.75">
      <c r="A18" s="1">
        <v>3.442</v>
      </c>
      <c r="B18">
        <v>2621</v>
      </c>
      <c r="C18">
        <v>168.7</v>
      </c>
      <c r="D18">
        <v>15.94</v>
      </c>
      <c r="E18">
        <v>95.23</v>
      </c>
      <c r="F18">
        <v>65.04</v>
      </c>
      <c r="G18">
        <v>10.89</v>
      </c>
    </row>
    <row r="19" spans="1:8" ht="12.75">
      <c r="A19" s="1">
        <v>1.266</v>
      </c>
      <c r="B19">
        <v>2057</v>
      </c>
      <c r="C19">
        <v>123.5</v>
      </c>
      <c r="D19">
        <v>12.52</v>
      </c>
      <c r="E19">
        <v>74.86</v>
      </c>
      <c r="F19">
        <v>41.24</v>
      </c>
      <c r="H19">
        <v>8.549</v>
      </c>
    </row>
    <row r="20" spans="1:7" s="6" customFormat="1" ht="12.75">
      <c r="A20" s="7" t="s">
        <v>94</v>
      </c>
      <c r="B20" s="6">
        <v>1696</v>
      </c>
      <c r="C20" s="6">
        <v>94.84</v>
      </c>
      <c r="F20" s="6">
        <v>34.81</v>
      </c>
      <c r="G20" s="6">
        <v>4.374</v>
      </c>
    </row>
    <row r="21" spans="1:6" ht="12.75">
      <c r="A21" s="1">
        <v>-0.9139</v>
      </c>
      <c r="B21">
        <v>1653</v>
      </c>
      <c r="C21">
        <v>80.1</v>
      </c>
      <c r="E21">
        <v>96.89</v>
      </c>
      <c r="F21">
        <v>35.6</v>
      </c>
    </row>
    <row r="22" spans="1:8" ht="12.75">
      <c r="A22" s="1">
        <v>-1.824</v>
      </c>
      <c r="B22">
        <v>1536</v>
      </c>
      <c r="C22">
        <v>76.24</v>
      </c>
      <c r="D22">
        <v>3.689</v>
      </c>
      <c r="E22">
        <v>94.41</v>
      </c>
      <c r="F22">
        <v>32.31</v>
      </c>
      <c r="H22">
        <v>4.064</v>
      </c>
    </row>
    <row r="23" spans="1:3" ht="12.75">
      <c r="A23" s="1">
        <v>-3</v>
      </c>
      <c r="B23">
        <v>1122</v>
      </c>
      <c r="C23">
        <v>57.09</v>
      </c>
    </row>
    <row r="24" spans="1:7" ht="12.75">
      <c r="A24" s="1">
        <v>-4.466</v>
      </c>
      <c r="B24">
        <v>561.7</v>
      </c>
      <c r="C24">
        <v>45.99</v>
      </c>
      <c r="D24">
        <v>2.338</v>
      </c>
      <c r="E24">
        <v>64.19</v>
      </c>
      <c r="F24">
        <v>26.6</v>
      </c>
      <c r="G24">
        <v>0.9681</v>
      </c>
    </row>
    <row r="25" spans="1:7" ht="12.75">
      <c r="A25" s="1">
        <v>-5</v>
      </c>
      <c r="B25">
        <v>463.2</v>
      </c>
      <c r="C25">
        <v>36.16</v>
      </c>
      <c r="D25">
        <v>0.969575</v>
      </c>
      <c r="F25">
        <v>9.745</v>
      </c>
      <c r="G25">
        <v>0.3903</v>
      </c>
    </row>
    <row r="26" spans="1:6" ht="12.75">
      <c r="A26" s="1">
        <v>-6.371</v>
      </c>
      <c r="B26">
        <v>200.8</v>
      </c>
      <c r="C26">
        <v>16.84</v>
      </c>
      <c r="D26">
        <v>0.2662</v>
      </c>
      <c r="E26">
        <v>20.37</v>
      </c>
      <c r="F26">
        <v>2.687</v>
      </c>
    </row>
    <row r="27" spans="1:6" ht="12.75">
      <c r="A27" s="1">
        <v>-6.615</v>
      </c>
      <c r="B27">
        <v>67.04</v>
      </c>
      <c r="C27">
        <v>6.634</v>
      </c>
      <c r="E27">
        <v>4.53</v>
      </c>
      <c r="F27">
        <v>0.3536</v>
      </c>
    </row>
    <row r="28" spans="1:2" ht="12.75">
      <c r="A28" s="1">
        <v>-7.82</v>
      </c>
      <c r="B28">
        <v>32.72</v>
      </c>
    </row>
    <row r="29" spans="1:2" ht="12.75">
      <c r="A29" s="1">
        <v>-8.81</v>
      </c>
      <c r="B29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94"/>
  <sheetViews>
    <sheetView tabSelected="1" workbookViewId="0" topLeftCell="A1">
      <pane xSplit="12740" ySplit="4440" topLeftCell="L54" activePane="bottomLeft" state="split"/>
      <selection pane="topLeft" activeCell="A40" sqref="A40"/>
      <selection pane="bottomLeft" activeCell="D68" sqref="D68"/>
      <selection pane="topRight" activeCell="F1" sqref="F1"/>
      <selection pane="bottomRight" activeCell="F54" sqref="F54"/>
    </sheetView>
  </sheetViews>
  <sheetFormatPr defaultColWidth="11.00390625" defaultRowHeight="12.75"/>
  <cols>
    <col min="1" max="1" width="22.25390625" style="2" customWidth="1"/>
    <col min="2" max="2" width="16.125" style="2" customWidth="1"/>
    <col min="3" max="3" width="17.00390625" style="2" customWidth="1"/>
    <col min="4" max="4" width="13.25390625" style="2" customWidth="1"/>
    <col min="5" max="5" width="14.125" style="2" customWidth="1"/>
    <col min="6" max="8" width="10.75390625" style="2" customWidth="1"/>
    <col min="9" max="9" width="13.625" style="2" customWidth="1"/>
    <col min="10" max="10" width="13.00390625" style="2" customWidth="1"/>
    <col min="11" max="16384" width="10.75390625" style="2" customWidth="1"/>
  </cols>
  <sheetData>
    <row r="2" spans="1:8" ht="12.75">
      <c r="A2" s="2" t="s">
        <v>36</v>
      </c>
      <c r="H2" s="2" t="s">
        <v>7</v>
      </c>
    </row>
    <row r="3" spans="2:15" ht="12.75">
      <c r="B3" s="2" t="s">
        <v>114</v>
      </c>
      <c r="E3" s="2" t="s">
        <v>1</v>
      </c>
      <c r="I3" s="2" t="s">
        <v>114</v>
      </c>
      <c r="J3" s="40" t="s">
        <v>59</v>
      </c>
      <c r="N3" s="2" t="s">
        <v>1</v>
      </c>
      <c r="O3" s="40" t="s">
        <v>59</v>
      </c>
    </row>
    <row r="4" spans="2:17" ht="12.75">
      <c r="B4" s="2" t="s">
        <v>115</v>
      </c>
      <c r="C4" s="2" t="s">
        <v>116</v>
      </c>
      <c r="D4" s="2" t="s">
        <v>0</v>
      </c>
      <c r="E4" s="2" t="s">
        <v>115</v>
      </c>
      <c r="F4" s="2" t="s">
        <v>116</v>
      </c>
      <c r="G4" s="2" t="s">
        <v>0</v>
      </c>
      <c r="H4" s="2" t="s">
        <v>8</v>
      </c>
      <c r="I4" s="2" t="s">
        <v>115</v>
      </c>
      <c r="J4" s="2" t="s">
        <v>116</v>
      </c>
      <c r="K4" s="2" t="s">
        <v>0</v>
      </c>
      <c r="L4" s="2" t="s">
        <v>12</v>
      </c>
      <c r="M4" s="2" t="s">
        <v>8</v>
      </c>
      <c r="N4" s="2" t="s">
        <v>115</v>
      </c>
      <c r="O4" s="2" t="s">
        <v>116</v>
      </c>
      <c r="P4" s="2" t="s">
        <v>0</v>
      </c>
      <c r="Q4" s="2" t="s">
        <v>12</v>
      </c>
    </row>
    <row r="5" spans="1:17" ht="12.75">
      <c r="A5" s="2" t="s">
        <v>2</v>
      </c>
      <c r="B5" s="36">
        <f>J167</f>
        <v>0.0006430545360335074</v>
      </c>
      <c r="C5" s="9"/>
      <c r="D5" s="9"/>
      <c r="E5" s="11">
        <f>J201</f>
        <v>0.0017800575114634335</v>
      </c>
      <c r="F5" s="9"/>
      <c r="G5" s="9"/>
      <c r="H5" s="14" t="s">
        <v>9</v>
      </c>
      <c r="I5" s="16">
        <v>13.22768628532914</v>
      </c>
      <c r="J5" s="20">
        <f>J6-(J7-J6)/8</f>
        <v>14.910188202176354</v>
      </c>
      <c r="K5" s="20">
        <f>K6-(K7-K6)/8</f>
        <v>15.40782054928415</v>
      </c>
      <c r="L5" s="38">
        <f>AVERAGE(I5:K5)</f>
        <v>14.51523167892988</v>
      </c>
      <c r="M5" s="39" t="s">
        <v>9</v>
      </c>
      <c r="N5" s="16">
        <v>16.017516412151025</v>
      </c>
      <c r="O5" s="20">
        <f>O6-(O7-O6)/8</f>
        <v>15.15345349459465</v>
      </c>
      <c r="P5" s="20">
        <f>P6-(P7-P6)/8</f>
        <v>14.083708672013445</v>
      </c>
      <c r="Q5" s="38">
        <f>AVERAGE(N5:P5)</f>
        <v>15.084892859586374</v>
      </c>
    </row>
    <row r="6" spans="1:17" ht="12.75">
      <c r="A6" s="2" t="s">
        <v>6</v>
      </c>
      <c r="B6" s="11">
        <f>J168</f>
        <v>0.0020514270909797487</v>
      </c>
      <c r="C6" s="12">
        <f>K168</f>
        <v>0.01487534354142128</v>
      </c>
      <c r="D6" s="11">
        <f>M168</f>
        <v>0.002935835167337027</v>
      </c>
      <c r="E6" s="11">
        <f>J202</f>
        <v>0.0036471594000155438</v>
      </c>
      <c r="F6" s="12">
        <f>K202</f>
        <v>0.014749245672542481</v>
      </c>
      <c r="G6" s="11">
        <f>M202</f>
        <v>0.004777041277493221</v>
      </c>
      <c r="H6" s="14" t="s">
        <v>9</v>
      </c>
      <c r="J6" s="38">
        <v>17.272954409482676</v>
      </c>
      <c r="K6" s="38">
        <v>17.646323551012014</v>
      </c>
      <c r="L6" s="38">
        <f>AVERAGE(I6:K6)</f>
        <v>17.459638980247345</v>
      </c>
      <c r="M6" s="39" t="s">
        <v>9</v>
      </c>
      <c r="O6" s="38">
        <v>17.251048543428574</v>
      </c>
      <c r="P6" s="38">
        <v>16.33370956753404</v>
      </c>
      <c r="Q6" s="38">
        <f>AVERAGE(N6:P6)</f>
        <v>16.792379055481305</v>
      </c>
    </row>
    <row r="7" spans="1:17" ht="12.75">
      <c r="A7" s="2" t="s">
        <v>3</v>
      </c>
      <c r="B7" s="13">
        <f>J175</f>
        <v>0.04830087654907379</v>
      </c>
      <c r="C7" s="13">
        <f>K175</f>
        <v>0.256968983117393</v>
      </c>
      <c r="D7" s="13">
        <f>M174+(M179-M174)*1/(A179-A174)</f>
        <v>0.05446611520072855</v>
      </c>
      <c r="E7" s="13">
        <f>J209</f>
        <v>0.09226703971399704</v>
      </c>
      <c r="F7" s="13">
        <f>K209</f>
        <v>0.21085596315705893</v>
      </c>
      <c r="G7" s="13">
        <f>AVERAGE(M208:M210)</f>
        <v>0.09055815004519432</v>
      </c>
      <c r="H7" s="14" t="s">
        <v>9</v>
      </c>
      <c r="I7" s="16">
        <v>34.72420169762275</v>
      </c>
      <c r="J7" s="38">
        <v>36.175084067933255</v>
      </c>
      <c r="K7" s="38">
        <v>35.55434756483492</v>
      </c>
      <c r="L7" s="38">
        <f>AVERAGE(I7:K7)</f>
        <v>35.48454444346365</v>
      </c>
      <c r="M7" s="40" t="s">
        <v>11</v>
      </c>
      <c r="N7" s="17">
        <v>13.936031552033873</v>
      </c>
      <c r="O7" s="38">
        <v>34.031808934099956</v>
      </c>
      <c r="P7" s="38">
        <v>34.33371673169879</v>
      </c>
      <c r="Q7" s="38">
        <f>37+N7/7</f>
        <v>38.990861650290555</v>
      </c>
    </row>
    <row r="8" spans="1:17" ht="12.75">
      <c r="A8" s="2" t="s">
        <v>4</v>
      </c>
      <c r="B8" s="13">
        <f>J182</f>
        <v>0.35394447083207387</v>
      </c>
      <c r="C8" s="13">
        <f>K182</f>
        <v>0.8863368669022379</v>
      </c>
      <c r="D8" s="13">
        <f>M182</f>
        <v>0.2802762389011156</v>
      </c>
      <c r="E8" s="13">
        <f>J215</f>
        <v>0.6767700318644594</v>
      </c>
      <c r="F8" s="13">
        <f>K215</f>
        <v>0.8726377640146101</v>
      </c>
      <c r="G8" s="13">
        <f>M215</f>
        <v>0.5640705031636034</v>
      </c>
      <c r="H8" s="15" t="s">
        <v>10</v>
      </c>
      <c r="I8" s="18">
        <v>3.162982872740638</v>
      </c>
      <c r="J8" s="38">
        <v>2.8957284020378626</v>
      </c>
      <c r="K8" s="38">
        <v>4.1816162862430595</v>
      </c>
      <c r="L8" s="38">
        <f>AVERAGE(I8:K8)</f>
        <v>3.4134425203405203</v>
      </c>
      <c r="M8" s="41" t="s">
        <v>10</v>
      </c>
      <c r="N8" s="16">
        <v>7.40428739022562</v>
      </c>
      <c r="O8" s="38">
        <v>3.0078416629809803</v>
      </c>
      <c r="P8" s="38">
        <v>4.531798526585521</v>
      </c>
      <c r="Q8" s="38">
        <f>AVERAGE(N8:P8)</f>
        <v>4.98130919326404</v>
      </c>
    </row>
    <row r="9" spans="1:17" ht="12.75">
      <c r="A9" s="2" t="s">
        <v>113</v>
      </c>
      <c r="B9" s="13">
        <f>J188+(4/7)*(J189-J188)</f>
        <v>1.1634353814931557</v>
      </c>
      <c r="C9" s="13">
        <f>K188+(4/7)*(K189-K188)</f>
        <v>1.0006870828425598</v>
      </c>
      <c r="D9" s="13">
        <f>M188+(4/7)*(M189-M188)</f>
        <v>0.9339758670410565</v>
      </c>
      <c r="E9" s="13">
        <f>J221+4/7*(J222-J221)</f>
        <v>1.4354550400248698</v>
      </c>
      <c r="F9" s="13">
        <f>K221+4/7*(K222-K221)</f>
        <v>1.0445926631729394</v>
      </c>
      <c r="G9" s="13">
        <f>M221+4/7*(M222-M221)</f>
        <v>1.728382042783971</v>
      </c>
      <c r="H9" s="15" t="s">
        <v>10</v>
      </c>
      <c r="I9" s="19">
        <v>12.790870000049942</v>
      </c>
      <c r="J9" s="38">
        <v>18</v>
      </c>
      <c r="K9" s="38">
        <v>18</v>
      </c>
      <c r="L9" s="38">
        <f>AVERAGE(I9:K9)</f>
        <v>16.26362333334998</v>
      </c>
      <c r="M9" s="41" t="s">
        <v>10</v>
      </c>
      <c r="N9" s="19">
        <v>15.148504254921678</v>
      </c>
      <c r="O9" s="38">
        <v>18</v>
      </c>
      <c r="P9" s="38">
        <v>18</v>
      </c>
      <c r="Q9" s="38">
        <f>AVERAGE(N9:P9)</f>
        <v>17.049501418307226</v>
      </c>
    </row>
    <row r="10" spans="9:17" ht="12.75">
      <c r="I10" s="2" t="s">
        <v>17</v>
      </c>
      <c r="J10" s="40"/>
      <c r="K10" s="40"/>
      <c r="L10" s="40"/>
      <c r="M10" s="40"/>
      <c r="O10" s="40"/>
      <c r="P10" s="40"/>
      <c r="Q10" s="40"/>
    </row>
    <row r="11" spans="9:17" ht="12.75">
      <c r="I11" s="2" t="s">
        <v>114</v>
      </c>
      <c r="J11" s="40"/>
      <c r="K11" s="40"/>
      <c r="L11" s="40"/>
      <c r="M11" s="40"/>
      <c r="N11" s="2" t="s">
        <v>1</v>
      </c>
      <c r="O11" s="40"/>
      <c r="P11" s="40"/>
      <c r="Q11" s="40"/>
    </row>
    <row r="12" spans="4:17" ht="12.75">
      <c r="D12" s="2" t="s">
        <v>57</v>
      </c>
      <c r="I12" s="2" t="s">
        <v>115</v>
      </c>
      <c r="J12" s="40" t="s">
        <v>116</v>
      </c>
      <c r="K12" s="40" t="s">
        <v>0</v>
      </c>
      <c r="L12" s="40" t="s">
        <v>12</v>
      </c>
      <c r="M12" s="40"/>
      <c r="N12" s="2" t="s">
        <v>115</v>
      </c>
      <c r="O12" s="40" t="s">
        <v>116</v>
      </c>
      <c r="P12" s="40" t="s">
        <v>0</v>
      </c>
      <c r="Q12" s="40" t="s">
        <v>12</v>
      </c>
    </row>
    <row r="13" spans="4:17" ht="12.75">
      <c r="D13" s="2" t="s">
        <v>58</v>
      </c>
      <c r="H13" s="2" t="s">
        <v>13</v>
      </c>
      <c r="I13" s="10">
        <f>7*(I7-I5)</f>
        <v>150.4756078860553</v>
      </c>
      <c r="J13" s="42">
        <f>7*(J7-J5)</f>
        <v>148.85427106029832</v>
      </c>
      <c r="K13" s="42">
        <f>7*(K7-K5)</f>
        <v>141.0256891088554</v>
      </c>
      <c r="L13" s="42">
        <f>7*(L7-L5)</f>
        <v>146.7851893517364</v>
      </c>
      <c r="M13" s="42"/>
      <c r="N13" s="10">
        <f>7*(39+N7/7-N5)</f>
        <v>174.8134166669767</v>
      </c>
      <c r="O13" s="42">
        <f>7*(O7-O5)</f>
        <v>132.14848807653715</v>
      </c>
      <c r="P13" s="42">
        <f>7*(P7-P5)</f>
        <v>141.75005641779745</v>
      </c>
      <c r="Q13" s="42">
        <f>AVERAGE(N13:P13)</f>
        <v>149.5706537204371</v>
      </c>
    </row>
    <row r="14" spans="8:17" ht="12.75">
      <c r="H14" s="2" t="s">
        <v>14</v>
      </c>
      <c r="I14" s="10">
        <f>I8*365+(39-I7)*7</f>
        <v>1184.4193366669738</v>
      </c>
      <c r="J14" s="42">
        <f>J8*365+(39-J7)*7</f>
        <v>1076.7152782682872</v>
      </c>
      <c r="K14" s="42">
        <f>K8*365+(39-K7)*7</f>
        <v>1550.4095115248722</v>
      </c>
      <c r="L14" s="42">
        <f>L8*365+(39-L7)*7</f>
        <v>1270.5147088200445</v>
      </c>
      <c r="M14" s="42"/>
      <c r="N14" s="10">
        <f>N8*365-N7</f>
        <v>2688.6288658803173</v>
      </c>
      <c r="O14" s="42">
        <f>O8*365+(39-O7)*7</f>
        <v>1132.639544449358</v>
      </c>
      <c r="P14" s="42">
        <f>P8*365+(39-P7)*7</f>
        <v>1686.7704450818237</v>
      </c>
      <c r="Q14" s="42">
        <f>Q8*365+(39-Q7)*7</f>
        <v>1818.2418239893407</v>
      </c>
    </row>
    <row r="15" spans="8:17" ht="12.75">
      <c r="H15" s="2" t="s">
        <v>15</v>
      </c>
      <c r="I15" s="10">
        <f>365*(I9-I8)</f>
        <v>3514.178801467896</v>
      </c>
      <c r="J15" s="42">
        <f>365*(J9-J8)</f>
        <v>5513.05913325618</v>
      </c>
      <c r="K15" s="42">
        <f>365*(K9-K8)</f>
        <v>5043.710055521284</v>
      </c>
      <c r="L15" s="42">
        <f>365*(L9-L8)</f>
        <v>4690.315996748453</v>
      </c>
      <c r="M15" s="42"/>
      <c r="N15" s="10">
        <f>365*(N9-N8)</f>
        <v>2826.639155614061</v>
      </c>
      <c r="O15" s="42">
        <f>365*(O9-O8)</f>
        <v>5472.137793011942</v>
      </c>
      <c r="P15" s="42">
        <f>365*(P9-P8)</f>
        <v>4915.893537796284</v>
      </c>
      <c r="Q15" s="42">
        <f>365*(Q9-Q8)</f>
        <v>4404.890162140763</v>
      </c>
    </row>
    <row r="16" spans="8:17" ht="12.75">
      <c r="H16" s="2" t="s">
        <v>16</v>
      </c>
      <c r="I16" s="10">
        <f>365*(70-I9)</f>
        <v>20881.33244998177</v>
      </c>
      <c r="J16" s="42">
        <f>365*70-J9</f>
        <v>25532</v>
      </c>
      <c r="K16" s="42">
        <f>365*70-K9</f>
        <v>25532</v>
      </c>
      <c r="L16" s="42">
        <f>365*70-L9</f>
        <v>25533.73637666665</v>
      </c>
      <c r="M16" s="42"/>
      <c r="N16" s="10">
        <f>365*(70-N9)</f>
        <v>20020.79594695359</v>
      </c>
      <c r="O16" s="42">
        <f>365*70-O9</f>
        <v>25532</v>
      </c>
      <c r="P16" s="42">
        <f>365*70-P9</f>
        <v>25532</v>
      </c>
      <c r="Q16" s="42">
        <f>365*70-Q9</f>
        <v>25532.950498581693</v>
      </c>
    </row>
    <row r="17" spans="8:17" ht="12.75">
      <c r="H17" s="2" t="s">
        <v>18</v>
      </c>
      <c r="I17" s="10">
        <f>SUM(I13:I16)</f>
        <v>25730.406196002696</v>
      </c>
      <c r="J17" s="42">
        <f>SUM(J13:J16)</f>
        <v>32270.628682584764</v>
      </c>
      <c r="K17" s="42">
        <f>SUM(K13:K16)</f>
        <v>32267.14525615501</v>
      </c>
      <c r="L17" s="42">
        <f>SUM(L13:L16)</f>
        <v>31641.352271586882</v>
      </c>
      <c r="M17" s="42"/>
      <c r="N17" s="10">
        <f>SUM(N13:N16)</f>
        <v>25710.877385114945</v>
      </c>
      <c r="O17" s="42">
        <f>SUM(O13:O16)</f>
        <v>32268.925825537837</v>
      </c>
      <c r="P17" s="42">
        <f>SUM(P13:P16)</f>
        <v>32276.414039295905</v>
      </c>
      <c r="Q17" s="42">
        <f>SUM(Q13:Q16)</f>
        <v>31905.653138432233</v>
      </c>
    </row>
    <row r="18" spans="9:17" ht="12.75"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36.75">
      <c r="A19" s="21" t="s">
        <v>55</v>
      </c>
      <c r="B19" s="21"/>
      <c r="C19" s="57" t="s">
        <v>22</v>
      </c>
      <c r="D19" s="57"/>
      <c r="E19" s="57"/>
      <c r="F19" s="57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24.75">
      <c r="A20" s="21" t="s">
        <v>25</v>
      </c>
      <c r="B20" s="28" t="s">
        <v>8</v>
      </c>
      <c r="C20" s="28" t="s">
        <v>115</v>
      </c>
      <c r="D20" s="28" t="s">
        <v>116</v>
      </c>
      <c r="E20" s="28" t="s">
        <v>0</v>
      </c>
      <c r="F20" s="28" t="s">
        <v>12</v>
      </c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21" t="s">
        <v>2</v>
      </c>
      <c r="B21" s="22" t="s">
        <v>9</v>
      </c>
      <c r="C21" s="23">
        <v>14.0056897041047</v>
      </c>
      <c r="D21" s="23">
        <v>14.82022258112423</v>
      </c>
      <c r="E21" s="23">
        <v>15.40782054928415</v>
      </c>
      <c r="F21" s="23">
        <v>14.74457761150436</v>
      </c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</v>
      </c>
      <c r="B22" s="22" t="s">
        <v>9</v>
      </c>
      <c r="C22" s="23">
        <v>37.689494357032856</v>
      </c>
      <c r="D22" s="23">
        <v>36.175084067933255</v>
      </c>
      <c r="E22" s="23">
        <v>35.55434756483492</v>
      </c>
      <c r="F22" s="23">
        <f>AVERAGE(C22:E22)</f>
        <v>36.47297532993368</v>
      </c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</v>
      </c>
      <c r="B23" s="24" t="s">
        <v>10</v>
      </c>
      <c r="C23" s="25">
        <v>6.017931398980134</v>
      </c>
      <c r="D23" s="23">
        <v>2.8957284020378626</v>
      </c>
      <c r="E23" s="25">
        <v>4.1816162862430595</v>
      </c>
      <c r="F23" s="23">
        <f>AVERAGE(C23:E23)</f>
        <v>4.365092029087019</v>
      </c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21" t="s">
        <v>113</v>
      </c>
      <c r="B24" s="24" t="s">
        <v>10</v>
      </c>
      <c r="C24" s="26">
        <v>18</v>
      </c>
      <c r="D24" s="26">
        <v>18</v>
      </c>
      <c r="E24" s="26">
        <v>18</v>
      </c>
      <c r="F24" s="23">
        <f>AVERAGE(C24:E24)</f>
        <v>18</v>
      </c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21"/>
      <c r="B25" s="21"/>
      <c r="C25" s="21"/>
      <c r="D25" s="21"/>
      <c r="E25" s="21"/>
      <c r="F25" s="21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21"/>
      <c r="B26" s="21"/>
      <c r="C26" s="57" t="s">
        <v>23</v>
      </c>
      <c r="D26" s="57"/>
      <c r="E26" s="57"/>
      <c r="F26" s="57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24.75">
      <c r="A27" s="21" t="s">
        <v>24</v>
      </c>
      <c r="B27" s="28" t="s">
        <v>8</v>
      </c>
      <c r="C27" s="28" t="s">
        <v>115</v>
      </c>
      <c r="D27" s="28" t="s">
        <v>116</v>
      </c>
      <c r="E27" s="28" t="s">
        <v>0</v>
      </c>
      <c r="F27" s="28" t="s">
        <v>12</v>
      </c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</v>
      </c>
      <c r="B28" s="22" t="s">
        <v>9</v>
      </c>
      <c r="C28" s="23">
        <v>15.986089379584481</v>
      </c>
      <c r="D28" s="23">
        <v>15.088131972853393</v>
      </c>
      <c r="E28" s="23">
        <v>14.083708672013445</v>
      </c>
      <c r="F28" s="23">
        <v>15.052643341483773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36" customHeight="1">
      <c r="A29" s="21" t="s">
        <v>3</v>
      </c>
      <c r="B29" s="22" t="s">
        <v>21</v>
      </c>
      <c r="C29" s="27" t="s">
        <v>20</v>
      </c>
      <c r="D29" s="23">
        <v>34.031808934099956</v>
      </c>
      <c r="E29" s="23">
        <v>34.33371673169879</v>
      </c>
      <c r="F29" s="23">
        <v>40.42295446195333</v>
      </c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21" t="s">
        <v>4</v>
      </c>
      <c r="B30" s="24" t="s">
        <v>10</v>
      </c>
      <c r="C30" s="23">
        <v>8.277241619540117</v>
      </c>
      <c r="D30" s="23">
        <v>3.0078416629809803</v>
      </c>
      <c r="E30" s="23">
        <v>4.531798526585521</v>
      </c>
      <c r="F30" s="23">
        <v>5.272293936368873</v>
      </c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21" t="s">
        <v>113</v>
      </c>
      <c r="B31" s="24" t="s">
        <v>10</v>
      </c>
      <c r="C31" s="26">
        <v>18</v>
      </c>
      <c r="D31" s="26">
        <v>18</v>
      </c>
      <c r="E31" s="26">
        <v>18</v>
      </c>
      <c r="F31" s="23">
        <v>18</v>
      </c>
      <c r="I31" s="10"/>
      <c r="J31" s="10"/>
      <c r="K31" s="10"/>
      <c r="L31" s="10"/>
      <c r="M31" s="10"/>
      <c r="N31" s="10"/>
      <c r="O31" s="10"/>
      <c r="P31" s="10"/>
      <c r="Q31" s="10"/>
    </row>
    <row r="32" spans="9:17" ht="12.75">
      <c r="I32" s="10"/>
      <c r="J32" s="10"/>
      <c r="K32" s="10"/>
      <c r="L32" s="10"/>
      <c r="M32" s="10"/>
      <c r="N32" s="10"/>
      <c r="O32" s="10"/>
      <c r="P32" s="10"/>
      <c r="Q32" s="10"/>
    </row>
    <row r="33" spans="9:17" ht="12.75">
      <c r="I33" s="10"/>
      <c r="J33" s="10"/>
      <c r="K33" s="10"/>
      <c r="L33" s="10"/>
      <c r="M33" s="10"/>
      <c r="N33" s="10"/>
      <c r="O33" s="10"/>
      <c r="P33" s="10"/>
      <c r="Q33" s="10"/>
    </row>
    <row r="34" spans="9:17" ht="12.75">
      <c r="I34" s="10"/>
      <c r="J34" s="10"/>
      <c r="K34" s="10"/>
      <c r="L34" s="10"/>
      <c r="M34" s="10"/>
      <c r="N34" s="10"/>
      <c r="O34" s="10"/>
      <c r="P34" s="10"/>
      <c r="Q34" s="10"/>
    </row>
    <row r="35" spans="9:17" ht="12.75">
      <c r="I35" s="10"/>
      <c r="J35" s="10"/>
      <c r="K35" s="10"/>
      <c r="L35" s="10"/>
      <c r="M35" s="10"/>
      <c r="N35" s="10"/>
      <c r="O35" s="10"/>
      <c r="P35" s="10"/>
      <c r="Q35" s="10"/>
    </row>
    <row r="36" spans="9:17" ht="12.75">
      <c r="I36" s="10"/>
      <c r="J36" s="10"/>
      <c r="K36" s="10"/>
      <c r="L36" s="10"/>
      <c r="M36" s="10"/>
      <c r="N36" s="10"/>
      <c r="O36" s="10"/>
      <c r="P36" s="10"/>
      <c r="Q36" s="10"/>
    </row>
    <row r="37" spans="9:17" ht="12.75">
      <c r="I37" s="10"/>
      <c r="J37" s="10"/>
      <c r="K37" s="10"/>
      <c r="L37" s="10"/>
      <c r="M37" s="10"/>
      <c r="N37" s="10"/>
      <c r="O37" s="10"/>
      <c r="P37" s="10"/>
      <c r="Q37" s="10"/>
    </row>
    <row r="38" spans="7:17" ht="12.75">
      <c r="G38" s="2" t="s">
        <v>26</v>
      </c>
      <c r="I38" s="10"/>
      <c r="J38" s="10"/>
      <c r="K38" s="10"/>
      <c r="L38" s="10"/>
      <c r="M38" s="10"/>
      <c r="N38" s="10"/>
      <c r="O38" s="10"/>
      <c r="P38" s="10"/>
      <c r="Q38" s="10"/>
    </row>
    <row r="39" spans="9:17" ht="12.75">
      <c r="I39" s="10"/>
      <c r="J39" s="10"/>
      <c r="K39" s="10"/>
      <c r="L39" s="10"/>
      <c r="M39" s="10"/>
      <c r="N39" s="10"/>
      <c r="O39" s="10"/>
      <c r="P39" s="10"/>
      <c r="Q39" s="10"/>
    </row>
    <row r="40" spans="9:17" ht="12.75">
      <c r="I40" s="10"/>
      <c r="J40" s="10"/>
      <c r="K40" s="10"/>
      <c r="L40" s="10"/>
      <c r="M40" s="10"/>
      <c r="N40" s="10"/>
      <c r="O40" s="10"/>
      <c r="P40" s="10"/>
      <c r="Q40" s="10"/>
    </row>
    <row r="42" spans="1:3" ht="15.75">
      <c r="A42" s="29" t="s">
        <v>27</v>
      </c>
      <c r="B42" s="30" t="s">
        <v>28</v>
      </c>
      <c r="C42" s="30" t="s">
        <v>29</v>
      </c>
    </row>
    <row r="43" spans="1:3" ht="15.75">
      <c r="A43" s="31" t="s">
        <v>30</v>
      </c>
      <c r="B43" s="30">
        <v>1.5</v>
      </c>
      <c r="C43" s="32">
        <v>1</v>
      </c>
    </row>
    <row r="44" spans="1:3" ht="15.75">
      <c r="A44" s="31" t="s">
        <v>31</v>
      </c>
      <c r="B44" s="30" t="s">
        <v>32</v>
      </c>
      <c r="C44" s="30" t="s">
        <v>32</v>
      </c>
    </row>
    <row r="45" spans="1:3" ht="15.75">
      <c r="A45" s="31" t="s">
        <v>33</v>
      </c>
      <c r="B45" s="32">
        <f>AVERAGE(1.5,AVERAGE(1.8,2.1))</f>
        <v>1.725</v>
      </c>
      <c r="C45" s="32">
        <f>AVERAGE(1,AVERAGE(1.8,2.1))</f>
        <v>1.475</v>
      </c>
    </row>
    <row r="46" spans="1:3" ht="15.75">
      <c r="A46" s="30"/>
      <c r="B46" s="30"/>
      <c r="C46" s="30"/>
    </row>
    <row r="47" spans="1:3" ht="15.75">
      <c r="A47" s="29" t="s">
        <v>34</v>
      </c>
      <c r="B47" s="30">
        <f>H31</f>
        <v>0</v>
      </c>
      <c r="C47" s="30">
        <f>I31</f>
        <v>0</v>
      </c>
    </row>
    <row r="48" spans="1:3" ht="15.75">
      <c r="A48" s="33"/>
      <c r="B48" s="33"/>
      <c r="C48" s="33"/>
    </row>
    <row r="49" spans="1:8" ht="15.75">
      <c r="A49" s="33"/>
      <c r="B49" s="33"/>
      <c r="C49" s="33"/>
      <c r="H49" s="37" t="s">
        <v>50</v>
      </c>
    </row>
    <row r="50" spans="1:9" ht="15.75">
      <c r="A50" s="31" t="s">
        <v>35</v>
      </c>
      <c r="B50" s="33"/>
      <c r="C50" s="33"/>
      <c r="H50" t="s">
        <v>48</v>
      </c>
      <c r="I50"/>
    </row>
    <row r="51" spans="8:9" ht="12.75">
      <c r="H51">
        <v>7.183333333333334</v>
      </c>
      <c r="I51"/>
    </row>
    <row r="52" spans="2:9" ht="12.75">
      <c r="B52" s="2" t="s">
        <v>53</v>
      </c>
      <c r="C52" s="2" t="s">
        <v>52</v>
      </c>
      <c r="D52" s="2">
        <v>30</v>
      </c>
      <c r="F52" s="9" t="s">
        <v>51</v>
      </c>
      <c r="H52"/>
      <c r="I52"/>
    </row>
    <row r="53" spans="8:9" ht="12.75">
      <c r="H53">
        <v>0.01525222956539021</v>
      </c>
      <c r="I53" t="s">
        <v>108</v>
      </c>
    </row>
    <row r="54" spans="1:9" ht="12.75">
      <c r="A54" s="2" t="s">
        <v>39</v>
      </c>
      <c r="H54" s="2">
        <v>6.312704989043012E-05</v>
      </c>
      <c r="I54" s="2" t="s">
        <v>49</v>
      </c>
    </row>
    <row r="55" spans="1:15" ht="12.75" customHeight="1">
      <c r="A55" s="43"/>
      <c r="B55" s="43"/>
      <c r="C55" s="58" t="s">
        <v>22</v>
      </c>
      <c r="D55" s="58"/>
      <c r="E55" s="58"/>
      <c r="F55" s="58"/>
      <c r="G55" s="43"/>
      <c r="H55" s="43" t="s">
        <v>54</v>
      </c>
      <c r="I55" s="43"/>
      <c r="J55" s="43"/>
      <c r="K55" s="43"/>
      <c r="L55" s="43"/>
      <c r="M55" s="43"/>
      <c r="N55" s="43"/>
      <c r="O55" s="43"/>
    </row>
    <row r="56" spans="1:15" ht="42.75" customHeight="1">
      <c r="A56" s="44" t="s">
        <v>25</v>
      </c>
      <c r="B56" s="45" t="s">
        <v>45</v>
      </c>
      <c r="C56" s="45" t="s">
        <v>62</v>
      </c>
      <c r="D56" s="45" t="s">
        <v>60</v>
      </c>
      <c r="E56" s="45" t="s">
        <v>61</v>
      </c>
      <c r="F56" s="43"/>
      <c r="G56" s="43"/>
      <c r="H56" s="43"/>
      <c r="I56" s="45" t="s">
        <v>56</v>
      </c>
      <c r="J56" s="45" t="s">
        <v>64</v>
      </c>
      <c r="K56" s="43"/>
      <c r="L56" s="43"/>
      <c r="M56" s="43"/>
      <c r="N56" s="43"/>
      <c r="O56" s="43"/>
    </row>
    <row r="57" spans="1:15" ht="12.75">
      <c r="A57" s="44" t="s">
        <v>2</v>
      </c>
      <c r="B57" s="56">
        <f>B5</f>
        <v>0.0006430545360335074</v>
      </c>
      <c r="C57" s="54" t="s">
        <v>66</v>
      </c>
      <c r="D57" s="46">
        <f>7*I5</f>
        <v>92.59380399730398</v>
      </c>
      <c r="E57" s="47" t="s">
        <v>47</v>
      </c>
      <c r="F57" s="48"/>
      <c r="G57" s="48"/>
      <c r="H57" s="43" t="s">
        <v>13</v>
      </c>
      <c r="I57" s="46">
        <f>D58*7-D57</f>
        <v>150.4756078860553</v>
      </c>
      <c r="J57" s="49">
        <f>I57/I$61</f>
        <v>0.005848162937646595</v>
      </c>
      <c r="K57" s="43"/>
      <c r="L57" s="43"/>
      <c r="M57" s="43"/>
      <c r="N57" s="43"/>
      <c r="O57" s="43"/>
    </row>
    <row r="58" spans="1:15" ht="12.75">
      <c r="A58" s="44" t="s">
        <v>3</v>
      </c>
      <c r="B58" s="51">
        <f>B7</f>
        <v>0.04830087654907379</v>
      </c>
      <c r="C58" s="54" t="s">
        <v>66</v>
      </c>
      <c r="D58" s="46">
        <f>I7</f>
        <v>34.72420169762275</v>
      </c>
      <c r="E58" s="47" t="s">
        <v>9</v>
      </c>
      <c r="F58" s="48"/>
      <c r="G58" s="48"/>
      <c r="H58" s="43" t="s">
        <v>14</v>
      </c>
      <c r="I58" s="46">
        <f>7*(39-D58)+365*D59</f>
        <v>1184.4193366669738</v>
      </c>
      <c r="J58" s="49">
        <f>I58/I$61</f>
        <v>0.04603189423612664</v>
      </c>
      <c r="K58" s="43"/>
      <c r="L58" s="43"/>
      <c r="M58" s="43"/>
      <c r="N58" s="43"/>
      <c r="O58" s="43"/>
    </row>
    <row r="59" spans="1:15" ht="12.75">
      <c r="A59" s="44" t="s">
        <v>4</v>
      </c>
      <c r="B59" s="51">
        <f>B8</f>
        <v>0.35394447083207387</v>
      </c>
      <c r="C59" s="45" t="s">
        <v>65</v>
      </c>
      <c r="D59" s="48">
        <f>I8</f>
        <v>3.162982872740638</v>
      </c>
      <c r="E59" s="50" t="s">
        <v>10</v>
      </c>
      <c r="F59" s="48"/>
      <c r="G59" s="48"/>
      <c r="H59" s="43" t="s">
        <v>15</v>
      </c>
      <c r="I59" s="46">
        <f>365*(D60-D59)</f>
        <v>3514.178801467896</v>
      </c>
      <c r="J59" s="51">
        <f>I59/I$61</f>
        <v>0.1365768878539444</v>
      </c>
      <c r="K59" s="43"/>
      <c r="L59" s="43"/>
      <c r="M59" s="43"/>
      <c r="N59" s="43"/>
      <c r="O59" s="43"/>
    </row>
    <row r="60" spans="1:15" ht="12.75">
      <c r="A60" s="44" t="s">
        <v>113</v>
      </c>
      <c r="B60" s="51">
        <f>B9</f>
        <v>1.1634353814931557</v>
      </c>
      <c r="C60" s="45" t="s">
        <v>65</v>
      </c>
      <c r="D60" s="52">
        <f>I9</f>
        <v>12.790870000049942</v>
      </c>
      <c r="E60" s="50" t="s">
        <v>10</v>
      </c>
      <c r="F60" s="48"/>
      <c r="G60" s="48"/>
      <c r="H60" s="43" t="s">
        <v>16</v>
      </c>
      <c r="I60" s="46">
        <f>365*(70-D60)</f>
        <v>20881.33244998177</v>
      </c>
      <c r="J60" s="51">
        <f>I60/I$61</f>
        <v>0.8115430549722824</v>
      </c>
      <c r="K60" s="43"/>
      <c r="L60" s="43"/>
      <c r="M60" s="43"/>
      <c r="N60" s="43"/>
      <c r="O60" s="43"/>
    </row>
    <row r="61" spans="1:15" ht="12.75">
      <c r="A61" s="44"/>
      <c r="B61" s="43"/>
      <c r="C61" s="43"/>
      <c r="D61" s="48"/>
      <c r="E61" s="43"/>
      <c r="F61" s="48"/>
      <c r="G61" s="48"/>
      <c r="H61" s="43" t="s">
        <v>18</v>
      </c>
      <c r="I61" s="46">
        <f>SUM(I57:I60)</f>
        <v>25730.406196002696</v>
      </c>
      <c r="J61" s="51">
        <f>I61/I$61</f>
        <v>1</v>
      </c>
      <c r="K61" s="43"/>
      <c r="L61" s="43"/>
      <c r="M61" s="43"/>
      <c r="N61" s="43"/>
      <c r="O61" s="43"/>
    </row>
    <row r="62" spans="1:15" ht="18.75" customHeight="1">
      <c r="A62" s="44"/>
      <c r="B62" s="43"/>
      <c r="C62" s="58" t="s">
        <v>23</v>
      </c>
      <c r="D62" s="58" t="s">
        <v>23</v>
      </c>
      <c r="E62" s="58"/>
      <c r="F62" s="58"/>
      <c r="G62" s="53"/>
      <c r="H62" s="43"/>
      <c r="I62" s="54"/>
      <c r="J62" s="43"/>
      <c r="K62" s="43"/>
      <c r="L62" s="43"/>
      <c r="M62" s="43"/>
      <c r="N62" s="43"/>
      <c r="O62" s="43"/>
    </row>
    <row r="63" spans="1:17" ht="24">
      <c r="A63" s="44" t="s">
        <v>24</v>
      </c>
      <c r="B63" s="45" t="s">
        <v>45</v>
      </c>
      <c r="C63" s="45" t="s">
        <v>62</v>
      </c>
      <c r="D63" s="55" t="s">
        <v>115</v>
      </c>
      <c r="E63" s="45" t="s">
        <v>8</v>
      </c>
      <c r="F63" s="48"/>
      <c r="G63" s="48"/>
      <c r="H63" s="43"/>
      <c r="I63" s="45" t="s">
        <v>56</v>
      </c>
      <c r="J63" s="45" t="s">
        <v>64</v>
      </c>
      <c r="K63" s="43"/>
      <c r="L63" s="43"/>
      <c r="M63" s="43"/>
      <c r="N63" s="43"/>
      <c r="O63" s="43" t="s">
        <v>75</v>
      </c>
      <c r="P63" s="2" t="s">
        <v>76</v>
      </c>
      <c r="Q63" s="2" t="s">
        <v>77</v>
      </c>
    </row>
    <row r="64" spans="1:17" ht="12.75">
      <c r="A64" s="44" t="s">
        <v>2</v>
      </c>
      <c r="B64" s="56">
        <f>E5</f>
        <v>0.0017800575114634335</v>
      </c>
      <c r="C64" s="54" t="s">
        <v>66</v>
      </c>
      <c r="D64" s="46">
        <f>7*N5</f>
        <v>112.12261488505717</v>
      </c>
      <c r="E64" s="47" t="s">
        <v>47</v>
      </c>
      <c r="F64" s="48"/>
      <c r="G64" s="48"/>
      <c r="H64" s="43" t="s">
        <v>13</v>
      </c>
      <c r="I64" s="46">
        <f>D65*7-D64</f>
        <v>-14.57039402082006</v>
      </c>
      <c r="J64" s="49">
        <f>I64/I$68</f>
        <v>-0.000566701548242591</v>
      </c>
      <c r="K64" s="43"/>
      <c r="L64" s="43"/>
      <c r="M64" s="43"/>
      <c r="N64" s="43"/>
      <c r="O64" s="43">
        <v>1</v>
      </c>
      <c r="P64" s="2">
        <f>(O64-3/8)/2.25</f>
        <v>0.2777777777777778</v>
      </c>
      <c r="Q64" s="2">
        <f>NORMSINV(P64)</f>
        <v>-0.5894556520801435</v>
      </c>
    </row>
    <row r="65" spans="1:17" ht="12.75">
      <c r="A65" s="44" t="s">
        <v>3</v>
      </c>
      <c r="B65" s="51">
        <f>E7</f>
        <v>0.09226703971399704</v>
      </c>
      <c r="C65" s="54" t="s">
        <v>66</v>
      </c>
      <c r="D65" s="46">
        <f>N7</f>
        <v>13.936031552033873</v>
      </c>
      <c r="E65" s="47" t="s">
        <v>46</v>
      </c>
      <c r="F65" s="48"/>
      <c r="G65" s="48"/>
      <c r="H65" s="43" t="s">
        <v>14</v>
      </c>
      <c r="I65" s="46">
        <f>7*(39-D65)+365*D66</f>
        <v>2878.0126765681143</v>
      </c>
      <c r="J65" s="49">
        <f>I65/I$68</f>
        <v>0.1119375520896969</v>
      </c>
      <c r="K65" s="43"/>
      <c r="L65" s="43"/>
      <c r="M65" s="43"/>
      <c r="N65" s="43"/>
      <c r="O65" s="43">
        <v>2</v>
      </c>
      <c r="P65" s="2">
        <f>(O65-3/8)/2.25</f>
        <v>0.7222222222222222</v>
      </c>
      <c r="Q65" s="2">
        <f>NORMSINV(P65)</f>
        <v>0.5894556520801433</v>
      </c>
    </row>
    <row r="66" spans="1:15" ht="12.75">
      <c r="A66" s="44" t="s">
        <v>4</v>
      </c>
      <c r="B66" s="51">
        <f>E8</f>
        <v>0.6767700318644594</v>
      </c>
      <c r="C66" s="45" t="s">
        <v>65</v>
      </c>
      <c r="D66" s="48">
        <f>N8</f>
        <v>7.40428739022562</v>
      </c>
      <c r="E66" s="50" t="s">
        <v>10</v>
      </c>
      <c r="F66" s="48"/>
      <c r="G66" s="48"/>
      <c r="H66" s="43" t="s">
        <v>15</v>
      </c>
      <c r="I66" s="46">
        <f>365*(D67-D66)</f>
        <v>2826.639155614061</v>
      </c>
      <c r="J66" s="51">
        <f>I66/I$68</f>
        <v>0.10993942809787252</v>
      </c>
      <c r="K66" s="43"/>
      <c r="L66" s="43"/>
      <c r="M66" s="43"/>
      <c r="N66" s="43"/>
      <c r="O66" s="43"/>
    </row>
    <row r="67" spans="1:15" ht="12.75">
      <c r="A67" s="44" t="s">
        <v>113</v>
      </c>
      <c r="B67" s="51">
        <f>E9</f>
        <v>1.4354550400248698</v>
      </c>
      <c r="C67" s="45" t="s">
        <v>65</v>
      </c>
      <c r="D67" s="52">
        <f>N9</f>
        <v>15.148504254921678</v>
      </c>
      <c r="E67" s="50" t="s">
        <v>10</v>
      </c>
      <c r="F67" s="48"/>
      <c r="G67" s="48"/>
      <c r="H67" s="43" t="s">
        <v>16</v>
      </c>
      <c r="I67" s="46">
        <f>365*(70-D67)</f>
        <v>20020.79594695359</v>
      </c>
      <c r="J67" s="51">
        <f>I67/I$68</f>
        <v>0.7786897213606732</v>
      </c>
      <c r="K67" s="43"/>
      <c r="L67" s="43"/>
      <c r="M67" s="43"/>
      <c r="N67" s="43"/>
      <c r="O67" s="43"/>
    </row>
    <row r="68" spans="1:15" ht="12.75">
      <c r="A68" s="43"/>
      <c r="B68" s="43"/>
      <c r="C68" s="43"/>
      <c r="D68" s="43"/>
      <c r="E68" s="43"/>
      <c r="F68" s="43"/>
      <c r="G68" s="43"/>
      <c r="H68" s="43" t="s">
        <v>18</v>
      </c>
      <c r="I68" s="46">
        <f>SUM(I64:I67)</f>
        <v>25710.877385114945</v>
      </c>
      <c r="J68" s="51">
        <f>I68/I$68</f>
        <v>1</v>
      </c>
      <c r="K68" s="43"/>
      <c r="L68" s="43"/>
      <c r="M68" s="43"/>
      <c r="N68" s="43"/>
      <c r="O68" s="43"/>
    </row>
    <row r="70" spans="1:15" ht="12.75" customHeight="1">
      <c r="A70" s="43"/>
      <c r="B70" s="43"/>
      <c r="C70" s="58" t="s">
        <v>22</v>
      </c>
      <c r="D70" s="58"/>
      <c r="E70" s="58"/>
      <c r="F70" s="58"/>
      <c r="G70" s="43"/>
      <c r="H70" s="43" t="s">
        <v>54</v>
      </c>
      <c r="I70" s="43"/>
      <c r="J70" s="43"/>
      <c r="K70" s="43"/>
      <c r="L70" s="43"/>
      <c r="M70" s="43"/>
      <c r="N70" s="43"/>
      <c r="O70" s="43"/>
    </row>
    <row r="71" spans="1:15" ht="42.75" customHeight="1">
      <c r="A71" s="44" t="s">
        <v>42</v>
      </c>
      <c r="B71" s="45" t="s">
        <v>63</v>
      </c>
      <c r="C71" s="45" t="s">
        <v>62</v>
      </c>
      <c r="D71" s="45" t="s">
        <v>60</v>
      </c>
      <c r="E71" s="45" t="s">
        <v>61</v>
      </c>
      <c r="F71" s="43"/>
      <c r="G71" s="43"/>
      <c r="H71" s="43"/>
      <c r="I71" s="45" t="s">
        <v>56</v>
      </c>
      <c r="J71" s="45" t="s">
        <v>64</v>
      </c>
      <c r="K71" s="43"/>
      <c r="L71" s="43"/>
      <c r="M71" s="43"/>
      <c r="N71" s="43"/>
      <c r="O71" s="43"/>
    </row>
    <row r="72" spans="1:15" ht="12.75">
      <c r="A72" s="44" t="s">
        <v>2</v>
      </c>
      <c r="B72" s="56">
        <v>6.312704989043012E-05</v>
      </c>
      <c r="C72" s="54" t="s">
        <v>66</v>
      </c>
      <c r="D72" s="46">
        <v>65.57662318051644</v>
      </c>
      <c r="E72" s="47" t="s">
        <v>47</v>
      </c>
      <c r="F72" s="48"/>
      <c r="G72" s="48"/>
      <c r="H72" s="43" t="s">
        <v>13</v>
      </c>
      <c r="I72" s="46">
        <f>D73*7-D72</f>
        <v>133.7564535295838</v>
      </c>
      <c r="J72" s="49">
        <f>I72/I$61</f>
        <v>0.005198380954839466</v>
      </c>
      <c r="K72" s="43"/>
      <c r="L72" s="43"/>
      <c r="M72" s="43"/>
      <c r="N72" s="43"/>
      <c r="O72" s="43"/>
    </row>
    <row r="73" spans="1:15" ht="12.75">
      <c r="A73" s="44" t="s">
        <v>40</v>
      </c>
      <c r="B73" s="51">
        <v>0.023320670822052476</v>
      </c>
      <c r="C73" s="54" t="s">
        <v>66</v>
      </c>
      <c r="D73" s="46">
        <v>28.476153815728605</v>
      </c>
      <c r="E73" s="47" t="s">
        <v>9</v>
      </c>
      <c r="F73" s="48"/>
      <c r="G73" s="48"/>
      <c r="H73" s="43" t="s">
        <v>14</v>
      </c>
      <c r="I73" s="46">
        <f>7*(39-D73)+365*D74</f>
        <v>234.8718876367608</v>
      </c>
      <c r="J73" s="49">
        <f>I73/I$61</f>
        <v>0.009128184213168345</v>
      </c>
      <c r="K73" s="43"/>
      <c r="L73" s="43"/>
      <c r="M73" s="43"/>
      <c r="N73" s="43"/>
      <c r="O73" s="43"/>
    </row>
    <row r="74" spans="1:15" ht="12.75">
      <c r="A74" s="44" t="s">
        <v>4</v>
      </c>
      <c r="B74" s="51">
        <v>0.1952078971251029</v>
      </c>
      <c r="C74" s="45" t="s">
        <v>65</v>
      </c>
      <c r="D74" s="48">
        <v>0.44165743656674256</v>
      </c>
      <c r="E74" s="50" t="s">
        <v>10</v>
      </c>
      <c r="F74" s="48"/>
      <c r="G74" s="48"/>
      <c r="H74" s="43" t="s">
        <v>15</v>
      </c>
      <c r="I74" s="46">
        <f>365*(D75-D74)</f>
        <v>4127.5152695926345</v>
      </c>
      <c r="J74" s="51">
        <f>I74/I$61</f>
        <v>0.16041391799845964</v>
      </c>
      <c r="K74" s="43"/>
      <c r="L74" s="43"/>
      <c r="M74" s="43"/>
      <c r="N74" s="43"/>
      <c r="O74" s="43"/>
    </row>
    <row r="75" spans="1:15" ht="12.75">
      <c r="A75" s="44" t="s">
        <v>113</v>
      </c>
      <c r="B75" s="51">
        <v>1.035136070698895</v>
      </c>
      <c r="C75" s="45" t="s">
        <v>65</v>
      </c>
      <c r="D75" s="52">
        <v>11.749918449149304</v>
      </c>
      <c r="E75" s="50" t="s">
        <v>10</v>
      </c>
      <c r="F75" s="48"/>
      <c r="G75" s="48"/>
      <c r="H75" s="43" t="s">
        <v>16</v>
      </c>
      <c r="I75" s="46">
        <f>365*(70-D75)</f>
        <v>21261.279766060503</v>
      </c>
      <c r="J75" s="51">
        <f>I75/I$61</f>
        <v>0.8263095267172079</v>
      </c>
      <c r="K75" s="43"/>
      <c r="L75" s="43"/>
      <c r="M75" s="43"/>
      <c r="N75" s="43"/>
      <c r="O75" s="43"/>
    </row>
    <row r="76" spans="1:15" ht="12.75">
      <c r="A76" s="44"/>
      <c r="B76" s="43"/>
      <c r="C76" s="43"/>
      <c r="D76" s="48"/>
      <c r="E76" s="43"/>
      <c r="F76" s="48"/>
      <c r="G76" s="48"/>
      <c r="H76" s="43" t="s">
        <v>18</v>
      </c>
      <c r="I76" s="46">
        <f>SUM(I72:I75)</f>
        <v>25757.423376819483</v>
      </c>
      <c r="J76" s="51">
        <f>I76/I$61</f>
        <v>1.0010500098836754</v>
      </c>
      <c r="K76" s="43"/>
      <c r="L76" s="43"/>
      <c r="M76" s="43"/>
      <c r="N76" s="43"/>
      <c r="O76" s="43"/>
    </row>
    <row r="77" spans="1:15" ht="21.75" customHeight="1">
      <c r="A77" s="44"/>
      <c r="B77" s="43"/>
      <c r="C77" s="58" t="s">
        <v>23</v>
      </c>
      <c r="D77" s="58" t="s">
        <v>23</v>
      </c>
      <c r="E77" s="58"/>
      <c r="F77" s="58"/>
      <c r="G77" s="53"/>
      <c r="H77" s="43"/>
      <c r="I77" s="54"/>
      <c r="J77" s="43"/>
      <c r="K77" s="43"/>
      <c r="L77" s="43"/>
      <c r="M77" s="43"/>
      <c r="N77" s="43"/>
      <c r="O77" s="43"/>
    </row>
    <row r="78" spans="1:17" ht="24">
      <c r="A78" s="44" t="s">
        <v>41</v>
      </c>
      <c r="B78" s="45" t="s">
        <v>63</v>
      </c>
      <c r="C78" s="45" t="s">
        <v>62</v>
      </c>
      <c r="D78" s="55" t="s">
        <v>115</v>
      </c>
      <c r="E78" s="45" t="s">
        <v>8</v>
      </c>
      <c r="F78" s="48"/>
      <c r="G78" s="48"/>
      <c r="H78" s="43"/>
      <c r="I78" s="45" t="s">
        <v>56</v>
      </c>
      <c r="J78" s="45" t="s">
        <v>64</v>
      </c>
      <c r="K78" s="43"/>
      <c r="L78" s="43"/>
      <c r="M78" s="43"/>
      <c r="N78" s="43"/>
      <c r="O78" s="43" t="s">
        <v>75</v>
      </c>
      <c r="P78" s="2" t="s">
        <v>76</v>
      </c>
      <c r="Q78" s="2" t="s">
        <v>77</v>
      </c>
    </row>
    <row r="79" spans="1:17" ht="12.75">
      <c r="A79" s="44" t="s">
        <v>2</v>
      </c>
      <c r="B79" s="56">
        <v>6.312704989043012E-05</v>
      </c>
      <c r="C79" s="54" t="s">
        <v>66</v>
      </c>
      <c r="D79" s="46">
        <v>65.57662318051644</v>
      </c>
      <c r="E79" s="47" t="s">
        <v>47</v>
      </c>
      <c r="F79" s="48"/>
      <c r="G79" s="48"/>
      <c r="H79" s="43" t="s">
        <v>13</v>
      </c>
      <c r="I79" s="46">
        <f>D80*7-D79</f>
        <v>141.74159426874456</v>
      </c>
      <c r="J79" s="49">
        <f>I79/I$68</f>
        <v>0.005512903824542543</v>
      </c>
      <c r="K79" s="43"/>
      <c r="L79" s="43"/>
      <c r="M79" s="43"/>
      <c r="N79" s="43"/>
      <c r="O79" s="43">
        <v>1</v>
      </c>
      <c r="P79" s="2">
        <f>(O79-3/8)/2.25</f>
        <v>0.2777777777777778</v>
      </c>
      <c r="Q79" s="2">
        <f>NORMSINV(P79)</f>
        <v>-0.5894556520801435</v>
      </c>
    </row>
    <row r="80" spans="1:17" ht="12.75">
      <c r="A80" s="44" t="s">
        <v>40</v>
      </c>
      <c r="B80" s="51">
        <v>0.02867470157307783</v>
      </c>
      <c r="C80" s="54" t="s">
        <v>66</v>
      </c>
      <c r="D80" s="46">
        <v>29.616888207037285</v>
      </c>
      <c r="E80" s="47" t="s">
        <v>9</v>
      </c>
      <c r="F80" s="48"/>
      <c r="G80" s="48"/>
      <c r="H80" s="43" t="s">
        <v>14</v>
      </c>
      <c r="I80" s="46">
        <f>7*(39-D80)+365*D81</f>
        <v>392.4963398412726</v>
      </c>
      <c r="J80" s="49">
        <f>I80/I$68</f>
        <v>0.01526576996818103</v>
      </c>
      <c r="K80" s="43"/>
      <c r="L80" s="43"/>
      <c r="M80" s="43"/>
      <c r="N80" s="43"/>
      <c r="O80" s="43">
        <v>2</v>
      </c>
      <c r="P80" s="2">
        <f>(O80-3/8)/2.25</f>
        <v>0.7222222222222222</v>
      </c>
      <c r="Q80" s="2">
        <f>NORMSINV(P80)</f>
        <v>0.5894556520801433</v>
      </c>
    </row>
    <row r="81" spans="1:15" ht="12.75">
      <c r="A81" s="44" t="s">
        <v>4</v>
      </c>
      <c r="B81" s="51">
        <v>0.24957111557492687</v>
      </c>
      <c r="C81" s="45" t="s">
        <v>65</v>
      </c>
      <c r="D81" s="48">
        <v>0.8953823487411878</v>
      </c>
      <c r="E81" s="50" t="s">
        <v>10</v>
      </c>
      <c r="F81" s="48"/>
      <c r="G81" s="48"/>
      <c r="H81" s="43" t="s">
        <v>15</v>
      </c>
      <c r="I81" s="46">
        <f>365*(D82-D81)</f>
        <v>3559.5931964993065</v>
      </c>
      <c r="J81" s="51">
        <f>I81/I$68</f>
        <v>0.13844697491965394</v>
      </c>
      <c r="K81" s="43"/>
      <c r="L81" s="43"/>
      <c r="M81" s="43"/>
      <c r="N81" s="43"/>
      <c r="O81" s="43"/>
    </row>
    <row r="82" spans="1:15" ht="12.75">
      <c r="A82" s="44" t="s">
        <v>113</v>
      </c>
      <c r="B82" s="51">
        <v>1.0253563425197887</v>
      </c>
      <c r="C82" s="45" t="s">
        <v>65</v>
      </c>
      <c r="D82" s="52">
        <v>10.647692476136548</v>
      </c>
      <c r="E82" s="50" t="s">
        <v>10</v>
      </c>
      <c r="F82" s="48"/>
      <c r="G82" s="48"/>
      <c r="H82" s="43" t="s">
        <v>16</v>
      </c>
      <c r="I82" s="46">
        <f>365*(70-D82)</f>
        <v>21663.59224621016</v>
      </c>
      <c r="J82" s="51">
        <f>I82/I$68</f>
        <v>0.8425847131437093</v>
      </c>
      <c r="K82" s="43"/>
      <c r="L82" s="43"/>
      <c r="M82" s="43"/>
      <c r="N82" s="43"/>
      <c r="O82" s="43"/>
    </row>
    <row r="95" ht="12.75">
      <c r="F95" s="2" t="s">
        <v>67</v>
      </c>
    </row>
    <row r="96" spans="9:19" ht="36">
      <c r="I96" s="45" t="s">
        <v>68</v>
      </c>
      <c r="J96" s="45" t="s">
        <v>69</v>
      </c>
      <c r="K96" s="45" t="s">
        <v>71</v>
      </c>
      <c r="L96" s="45" t="s">
        <v>72</v>
      </c>
      <c r="P96" s="2" t="s">
        <v>73</v>
      </c>
      <c r="Q96" s="2" t="s">
        <v>74</v>
      </c>
      <c r="R96" s="2" t="s">
        <v>83</v>
      </c>
      <c r="S96" s="2" t="s">
        <v>84</v>
      </c>
    </row>
    <row r="97" spans="6:19" ht="12.75">
      <c r="F97" s="43" t="s">
        <v>70</v>
      </c>
      <c r="G97" s="43"/>
      <c r="H97" s="43"/>
      <c r="I97" s="46">
        <f>I13</f>
        <v>150.4756078860553</v>
      </c>
      <c r="J97" s="46">
        <f>I57</f>
        <v>150.4756078860553</v>
      </c>
      <c r="K97" s="46">
        <f aca="true" t="shared" si="0" ref="K97:L102">10^R97</f>
        <v>150.4756078860553</v>
      </c>
      <c r="L97" s="51">
        <f t="shared" si="0"/>
        <v>1</v>
      </c>
      <c r="M97" s="43"/>
      <c r="P97" s="2">
        <f aca="true" t="shared" si="1" ref="P97:Q102">LOG(I97)</f>
        <v>2.177466106447907</v>
      </c>
      <c r="Q97" s="2">
        <f t="shared" si="1"/>
        <v>2.177466106447907</v>
      </c>
      <c r="R97" s="2">
        <f aca="true" t="shared" si="2" ref="R97:R102">AVERAGE(P97:Q97)</f>
        <v>2.177466106447907</v>
      </c>
      <c r="S97" s="2">
        <f>(P97-Q97)/(Q$65-Q$64)</f>
        <v>0</v>
      </c>
    </row>
    <row r="98" spans="6:19" ht="12.75">
      <c r="F98" s="43" t="s">
        <v>78</v>
      </c>
      <c r="G98" s="43"/>
      <c r="H98" s="43"/>
      <c r="I98" s="46">
        <f>I14</f>
        <v>1184.4193366669738</v>
      </c>
      <c r="J98" s="46">
        <f>I58</f>
        <v>1184.4193366669738</v>
      </c>
      <c r="K98" s="46">
        <f t="shared" si="0"/>
        <v>1184.419336666975</v>
      </c>
      <c r="L98" s="51">
        <f t="shared" si="0"/>
        <v>1</v>
      </c>
      <c r="M98" s="43"/>
      <c r="P98" s="2">
        <f t="shared" si="1"/>
        <v>3.0735054890070406</v>
      </c>
      <c r="Q98" s="2">
        <f t="shared" si="1"/>
        <v>3.0735054890070406</v>
      </c>
      <c r="R98" s="2">
        <f t="shared" si="2"/>
        <v>3.0735054890070406</v>
      </c>
      <c r="S98" s="2">
        <f>(P98-Q98)/(Q$65-Q$64)</f>
        <v>0</v>
      </c>
    </row>
    <row r="99" spans="6:19" ht="12.75">
      <c r="F99" s="43" t="s">
        <v>79</v>
      </c>
      <c r="G99" s="43"/>
      <c r="H99" s="43"/>
      <c r="I99" s="46">
        <f>I15</f>
        <v>3514.178801467896</v>
      </c>
      <c r="J99" s="46">
        <f>I59</f>
        <v>3514.178801467896</v>
      </c>
      <c r="K99" s="46">
        <f t="shared" si="0"/>
        <v>3514.178801467898</v>
      </c>
      <c r="L99" s="51">
        <f t="shared" si="0"/>
        <v>1</v>
      </c>
      <c r="M99" s="43"/>
      <c r="P99" s="2">
        <f t="shared" si="1"/>
        <v>3.545823854630918</v>
      </c>
      <c r="Q99" s="2">
        <f t="shared" si="1"/>
        <v>3.545823854630918</v>
      </c>
      <c r="R99" s="2">
        <f t="shared" si="2"/>
        <v>3.545823854630918</v>
      </c>
      <c r="S99" s="2">
        <f>-(P99-Q99)/(Q$65-Q$64)</f>
        <v>0</v>
      </c>
    </row>
    <row r="100" spans="6:19" ht="12.75">
      <c r="F100" s="43" t="s">
        <v>80</v>
      </c>
      <c r="G100" s="43"/>
      <c r="H100" s="43"/>
      <c r="I100" s="46">
        <f>N13</f>
        <v>174.8134166669767</v>
      </c>
      <c r="J100" s="46">
        <f>I64</f>
        <v>-14.57039402082006</v>
      </c>
      <c r="K100" s="46" t="e">
        <f t="shared" si="0"/>
        <v>#NUM!</v>
      </c>
      <c r="L100" s="51" t="e">
        <f t="shared" si="0"/>
        <v>#NUM!</v>
      </c>
      <c r="M100" s="43"/>
      <c r="P100" s="2">
        <f t="shared" si="1"/>
        <v>2.242574761026241</v>
      </c>
      <c r="Q100" s="2" t="e">
        <f t="shared" si="1"/>
        <v>#NUM!</v>
      </c>
      <c r="R100" s="2" t="e">
        <f t="shared" si="2"/>
        <v>#NUM!</v>
      </c>
      <c r="S100" s="2" t="e">
        <f>(P100-Q100)/(Q$65-Q$64)</f>
        <v>#NUM!</v>
      </c>
    </row>
    <row r="101" spans="6:19" ht="12.75">
      <c r="F101" s="43" t="s">
        <v>81</v>
      </c>
      <c r="G101" s="43"/>
      <c r="H101" s="43"/>
      <c r="I101" s="46">
        <f>N14</f>
        <v>2688.6288658803173</v>
      </c>
      <c r="J101" s="46">
        <f>I65</f>
        <v>2878.0126765681143</v>
      </c>
      <c r="K101" s="46">
        <f t="shared" si="0"/>
        <v>2781.7095388610464</v>
      </c>
      <c r="L101" s="51">
        <f t="shared" si="0"/>
        <v>0.9438966685946384</v>
      </c>
      <c r="M101" s="43"/>
      <c r="P101" s="2">
        <f t="shared" si="1"/>
        <v>3.4295308570301692</v>
      </c>
      <c r="Q101" s="2">
        <f t="shared" si="1"/>
        <v>3.4590927025093623</v>
      </c>
      <c r="R101" s="2">
        <f t="shared" si="2"/>
        <v>3.444311779769766</v>
      </c>
      <c r="S101" s="2">
        <f>(P101-Q101)/(Q$65-Q$64)</f>
        <v>-0.025075546714050146</v>
      </c>
    </row>
    <row r="102" spans="6:19" ht="12.75">
      <c r="F102" s="43" t="s">
        <v>82</v>
      </c>
      <c r="G102" s="43"/>
      <c r="H102" s="43"/>
      <c r="I102" s="46">
        <f>N15</f>
        <v>2826.639155614061</v>
      </c>
      <c r="J102" s="46">
        <f>I66</f>
        <v>2826.639155614061</v>
      </c>
      <c r="K102" s="46">
        <f t="shared" si="0"/>
        <v>2826.639155614062</v>
      </c>
      <c r="L102" s="51">
        <f t="shared" si="0"/>
        <v>1</v>
      </c>
      <c r="M102" s="43"/>
      <c r="P102" s="2">
        <f t="shared" si="1"/>
        <v>3.4512703706656547</v>
      </c>
      <c r="Q102" s="2">
        <f t="shared" si="1"/>
        <v>3.4512703706656547</v>
      </c>
      <c r="R102" s="2">
        <f t="shared" si="2"/>
        <v>3.4512703706656547</v>
      </c>
      <c r="S102" s="2">
        <f>-(P102-Q102)/(Q$65-Q$64)</f>
        <v>0</v>
      </c>
    </row>
    <row r="103" spans="6:13" ht="12.75">
      <c r="F103" s="43"/>
      <c r="G103" s="43"/>
      <c r="H103" s="43"/>
      <c r="I103" s="43"/>
      <c r="J103" s="43"/>
      <c r="K103" s="43"/>
      <c r="L103" s="43"/>
      <c r="M103" s="43"/>
    </row>
    <row r="104" spans="6:13" ht="12.75">
      <c r="F104" s="43"/>
      <c r="G104" s="43"/>
      <c r="H104" s="43"/>
      <c r="I104" s="43"/>
      <c r="J104" s="43"/>
      <c r="K104" s="43"/>
      <c r="L104" s="43"/>
      <c r="M104" s="43"/>
    </row>
    <row r="105" spans="6:13" ht="12.75">
      <c r="F105" s="43"/>
      <c r="G105" s="43"/>
      <c r="H105" s="43"/>
      <c r="I105" s="43"/>
      <c r="J105" s="43"/>
      <c r="K105" s="43"/>
      <c r="L105" s="43"/>
      <c r="M105" s="43"/>
    </row>
    <row r="106" spans="6:13" ht="12.75">
      <c r="F106" s="43"/>
      <c r="G106" s="43"/>
      <c r="H106" s="43"/>
      <c r="I106" s="43"/>
      <c r="J106" s="43"/>
      <c r="K106" s="43"/>
      <c r="L106" s="43"/>
      <c r="M106" s="43"/>
    </row>
    <row r="107" spans="6:13" ht="12.75">
      <c r="F107" s="43"/>
      <c r="G107" s="43"/>
      <c r="H107" s="43"/>
      <c r="I107" s="43"/>
      <c r="J107" s="43"/>
      <c r="K107" s="43"/>
      <c r="L107" s="43"/>
      <c r="M107" s="43"/>
    </row>
    <row r="111" spans="1:8" ht="12.75">
      <c r="A111" s="2" t="s">
        <v>5</v>
      </c>
      <c r="H111" s="2" t="s">
        <v>7</v>
      </c>
    </row>
    <row r="112" spans="2:14" ht="12.75">
      <c r="B112" s="2" t="s">
        <v>114</v>
      </c>
      <c r="E112" s="2" t="s">
        <v>1</v>
      </c>
      <c r="I112" s="2" t="s">
        <v>114</v>
      </c>
      <c r="N112" s="2" t="s">
        <v>1</v>
      </c>
    </row>
    <row r="113" spans="2:17" ht="12.75">
      <c r="B113" s="2" t="s">
        <v>115</v>
      </c>
      <c r="C113" s="2" t="s">
        <v>116</v>
      </c>
      <c r="D113" s="2" t="s">
        <v>0</v>
      </c>
      <c r="E113" s="2" t="s">
        <v>115</v>
      </c>
      <c r="F113" s="2" t="s">
        <v>116</v>
      </c>
      <c r="G113" s="2" t="s">
        <v>0</v>
      </c>
      <c r="H113" s="2" t="s">
        <v>8</v>
      </c>
      <c r="I113" s="2" t="s">
        <v>115</v>
      </c>
      <c r="J113" s="2" t="s">
        <v>116</v>
      </c>
      <c r="K113" s="2" t="s">
        <v>0</v>
      </c>
      <c r="L113" s="2" t="s">
        <v>12</v>
      </c>
      <c r="M113" s="2" t="s">
        <v>8</v>
      </c>
      <c r="N113" s="2" t="s">
        <v>115</v>
      </c>
      <c r="O113" s="2" t="s">
        <v>116</v>
      </c>
      <c r="P113" s="2" t="s">
        <v>0</v>
      </c>
      <c r="Q113" s="2" t="s">
        <v>12</v>
      </c>
    </row>
    <row r="114" spans="1:17" ht="12.75">
      <c r="A114" s="2" t="s">
        <v>2</v>
      </c>
      <c r="B114" s="11">
        <f>J190</f>
        <v>1.1878751241418022</v>
      </c>
      <c r="C114" s="9"/>
      <c r="D114" s="9"/>
      <c r="E114" s="11">
        <f>J224</f>
        <v>0</v>
      </c>
      <c r="F114" s="9"/>
      <c r="G114" s="9"/>
      <c r="H114" s="14" t="s">
        <v>9</v>
      </c>
      <c r="I114" s="16">
        <v>14.0056897041047</v>
      </c>
      <c r="J114" s="20">
        <f>J115-(J116-J115)/8</f>
        <v>14.82022258112423</v>
      </c>
      <c r="K114" s="20">
        <f>K115-(K116-K115)/8</f>
        <v>15.40782054928415</v>
      </c>
      <c r="L114" s="16">
        <f>AVERAGE(I114:K114)</f>
        <v>14.74457761150436</v>
      </c>
      <c r="M114" s="14" t="s">
        <v>9</v>
      </c>
      <c r="N114" s="16">
        <v>15.986089379584481</v>
      </c>
      <c r="O114" s="20">
        <f>O115-(O116-O115)/8</f>
        <v>15.088131972853393</v>
      </c>
      <c r="P114" s="20">
        <f>P115-(P116-P115)/8</f>
        <v>14.083708672013445</v>
      </c>
      <c r="Q114" s="16">
        <f>AVERAGE(N114:P114)</f>
        <v>15.052643341483773</v>
      </c>
    </row>
    <row r="115" spans="1:17" ht="12.75">
      <c r="A115" s="2" t="s">
        <v>6</v>
      </c>
      <c r="B115" s="11">
        <f>J191</f>
        <v>0</v>
      </c>
      <c r="C115" s="12">
        <f>K191</f>
        <v>0</v>
      </c>
      <c r="D115" s="11">
        <f>M191</f>
        <v>0</v>
      </c>
      <c r="E115" s="11">
        <f>J225</f>
        <v>0</v>
      </c>
      <c r="F115" s="12">
        <f>K225</f>
        <v>0</v>
      </c>
      <c r="G115" s="11">
        <f>M225</f>
        <v>0</v>
      </c>
      <c r="H115" s="14" t="s">
        <v>9</v>
      </c>
      <c r="J115" s="16">
        <v>17.192984968547457</v>
      </c>
      <c r="K115" s="16">
        <v>17.646323551012014</v>
      </c>
      <c r="L115" s="16">
        <f>AVERAGE(I115:K115)</f>
        <v>17.419654259779733</v>
      </c>
      <c r="M115" s="14" t="s">
        <v>9</v>
      </c>
      <c r="O115" s="16">
        <v>17.192984968547457</v>
      </c>
      <c r="P115" s="16">
        <v>16.33370956753404</v>
      </c>
      <c r="Q115" s="16">
        <f>AVERAGE(N115:P115)</f>
        <v>16.763347268040746</v>
      </c>
    </row>
    <row r="116" spans="1:17" ht="12.75">
      <c r="A116" s="2" t="s">
        <v>3</v>
      </c>
      <c r="B116" s="13" t="str">
        <f>J198</f>
        <v>Fract Sexual Maturity Wt</v>
      </c>
      <c r="C116" s="13">
        <f>K198</f>
        <v>0</v>
      </c>
      <c r="D116" s="13">
        <f>M197+(M202-M197)*1/(A202-A197)</f>
        <v>0.0003674647136533247</v>
      </c>
      <c r="E116" s="13">
        <f>J232</f>
        <v>0.0808567306625236</v>
      </c>
      <c r="F116" s="13">
        <f>K232</f>
        <v>0.003395444832944833</v>
      </c>
      <c r="G116" s="13">
        <f>AVERAGE(M231:M233)</f>
        <v>0.06730373063273608</v>
      </c>
      <c r="H116" s="14" t="s">
        <v>9</v>
      </c>
      <c r="I116" s="16">
        <v>37.689494357032856</v>
      </c>
      <c r="J116" s="16">
        <v>36.175084067933255</v>
      </c>
      <c r="K116" s="16">
        <v>35.55434756483492</v>
      </c>
      <c r="L116" s="16">
        <f>AVERAGE(I116:K116)</f>
        <v>36.47297532993368</v>
      </c>
      <c r="M116" s="2" t="s">
        <v>11</v>
      </c>
      <c r="N116" s="17">
        <v>23.9606812336733</v>
      </c>
      <c r="O116" s="16">
        <v>34.031808934099956</v>
      </c>
      <c r="P116" s="16">
        <v>34.33371673169879</v>
      </c>
      <c r="Q116" s="16">
        <f>37+N116/7</f>
        <v>40.42295446195333</v>
      </c>
    </row>
    <row r="117" spans="1:17" ht="12.75">
      <c r="A117" s="2" t="s">
        <v>4</v>
      </c>
      <c r="B117" s="13">
        <f>J205</f>
        <v>0.03055801663169348</v>
      </c>
      <c r="C117" s="13">
        <f>K205</f>
        <v>0.10224868985231063</v>
      </c>
      <c r="D117" s="13">
        <f>M205</f>
        <v>0.0676905694486291</v>
      </c>
      <c r="E117" s="13">
        <f>J238</f>
        <v>0.2741094218177783</v>
      </c>
      <c r="F117" s="13">
        <f>K238</f>
        <v>0.047144522144522145</v>
      </c>
      <c r="G117" s="13">
        <f>M238</f>
        <v>0.21034796156842375</v>
      </c>
      <c r="H117" s="15" t="s">
        <v>10</v>
      </c>
      <c r="I117" s="18">
        <v>6.017931398980134</v>
      </c>
      <c r="J117" s="16">
        <v>2.8957284020378626</v>
      </c>
      <c r="K117" s="18">
        <v>4.1816162862430595</v>
      </c>
      <c r="L117" s="16">
        <f>AVERAGE(I117:K117)</f>
        <v>4.365092029087019</v>
      </c>
      <c r="M117" s="15" t="s">
        <v>10</v>
      </c>
      <c r="N117" s="16">
        <v>8.277241619540117</v>
      </c>
      <c r="O117" s="16">
        <v>3.0078416629809803</v>
      </c>
      <c r="P117" s="16">
        <v>4.531798526585521</v>
      </c>
      <c r="Q117" s="16">
        <f>AVERAGE(N117:P117)</f>
        <v>5.272293936368873</v>
      </c>
    </row>
    <row r="118" spans="1:17" ht="12.75">
      <c r="A118" s="2" t="s">
        <v>113</v>
      </c>
      <c r="B118" s="13">
        <f>J210+(4/7)*(J211-J210)</f>
        <v>0.12943965182249165</v>
      </c>
      <c r="C118" s="13">
        <f>K210+(4/7)*(K211-K210)</f>
        <v>0.33199936477687786</v>
      </c>
      <c r="D118" s="13">
        <f>M210+(4/7)*(M211-M210)</f>
        <v>0.09121723410665863</v>
      </c>
      <c r="E118" s="13">
        <f>J243+4/7*(J244-J243)</f>
        <v>0.9269464305531336</v>
      </c>
      <c r="F118" s="13">
        <f>K243+4/7*(K244-K243)</f>
        <v>0.4487096237096237</v>
      </c>
      <c r="G118" s="13">
        <f>M243+4/7*(M244-M243)</f>
        <v>0.7262306636495159</v>
      </c>
      <c r="H118" s="15" t="s">
        <v>10</v>
      </c>
      <c r="I118" s="19">
        <v>15</v>
      </c>
      <c r="J118" s="19">
        <v>15</v>
      </c>
      <c r="K118" s="19">
        <v>15</v>
      </c>
      <c r="L118" s="16">
        <f>AVERAGE(I118:K118)</f>
        <v>15</v>
      </c>
      <c r="M118" s="15" t="s">
        <v>10</v>
      </c>
      <c r="N118" s="19">
        <v>15</v>
      </c>
      <c r="O118" s="19">
        <v>15</v>
      </c>
      <c r="P118" s="19">
        <v>15</v>
      </c>
      <c r="Q118" s="16">
        <f>AVERAGE(N118:P118)</f>
        <v>15</v>
      </c>
    </row>
    <row r="119" ht="12.75">
      <c r="I119" s="2" t="s">
        <v>17</v>
      </c>
    </row>
    <row r="120" spans="9:14" ht="12.75">
      <c r="I120" s="2" t="s">
        <v>114</v>
      </c>
      <c r="N120" s="2" t="s">
        <v>1</v>
      </c>
    </row>
    <row r="121" spans="9:17" ht="12.75">
      <c r="I121" s="2" t="s">
        <v>115</v>
      </c>
      <c r="J121" s="2" t="s">
        <v>116</v>
      </c>
      <c r="K121" s="2" t="s">
        <v>0</v>
      </c>
      <c r="L121" s="2" t="s">
        <v>12</v>
      </c>
      <c r="N121" s="2" t="s">
        <v>115</v>
      </c>
      <c r="O121" s="2" t="s">
        <v>116</v>
      </c>
      <c r="P121" s="2" t="s">
        <v>0</v>
      </c>
      <c r="Q121" s="2" t="s">
        <v>12</v>
      </c>
    </row>
    <row r="122" spans="8:17" ht="12.75">
      <c r="H122" s="2" t="s">
        <v>13</v>
      </c>
      <c r="I122" s="10">
        <f>7*(I116-I114)</f>
        <v>165.7866325704971</v>
      </c>
      <c r="J122" s="10">
        <f>7*(J116-J114)</f>
        <v>149.48403040766317</v>
      </c>
      <c r="K122" s="10">
        <f>7*(K116-K114)</f>
        <v>141.0256891088554</v>
      </c>
      <c r="L122" s="10">
        <f>7*(L116-L114)</f>
        <v>152.09878402900523</v>
      </c>
      <c r="M122" s="10"/>
      <c r="N122" s="10">
        <f>7*(37+N116/7-N114)</f>
        <v>171.05805557658195</v>
      </c>
      <c r="O122" s="10">
        <f>7*(O116-O114)</f>
        <v>132.60573872872595</v>
      </c>
      <c r="P122" s="10">
        <f>7*(P116-P114)</f>
        <v>141.75005641779745</v>
      </c>
      <c r="Q122" s="10">
        <f>AVERAGE(N122:P122)</f>
        <v>148.47128357436844</v>
      </c>
    </row>
    <row r="123" spans="8:17" ht="12.75">
      <c r="H123" s="2" t="s">
        <v>14</v>
      </c>
      <c r="I123" s="10">
        <f>I117*365+(37-I116)*7</f>
        <v>2191.718500128519</v>
      </c>
      <c r="J123" s="10">
        <f>J117*365+(37-J116)*7</f>
        <v>1062.7152782682872</v>
      </c>
      <c r="K123" s="10">
        <f>K117*365+(37-K116)*7</f>
        <v>1536.4095115248722</v>
      </c>
      <c r="L123" s="10">
        <f>L117*365+(37-L116)*7</f>
        <v>1596.947763307226</v>
      </c>
      <c r="M123" s="10"/>
      <c r="N123" s="10">
        <f>N117*365-N116</f>
        <v>2997.2325098984693</v>
      </c>
      <c r="O123" s="10">
        <f>O117*365+(37-O116)*7</f>
        <v>1118.639544449358</v>
      </c>
      <c r="P123" s="10">
        <f>P117*365+(37-P116)*7</f>
        <v>1672.7704450818237</v>
      </c>
      <c r="Q123" s="10">
        <f>Q117*365+(37-Q116)*7</f>
        <v>1900.4266055409653</v>
      </c>
    </row>
    <row r="124" spans="8:17" ht="12.75">
      <c r="H124" s="2" t="s">
        <v>15</v>
      </c>
      <c r="I124" s="10">
        <f>365*(I118-I117)</f>
        <v>3278.4550393722507</v>
      </c>
      <c r="J124" s="10">
        <f>365*(J118-J117)</f>
        <v>4418.05913325618</v>
      </c>
      <c r="K124" s="10">
        <f>365*(K118-K117)</f>
        <v>3948.7100555212833</v>
      </c>
      <c r="L124" s="10">
        <f>365*(L118-L117)</f>
        <v>3881.7414093832376</v>
      </c>
      <c r="M124" s="10"/>
      <c r="N124" s="10">
        <f>365*(N118-N117)</f>
        <v>2453.8068088678574</v>
      </c>
      <c r="O124" s="10">
        <f>365*(O118-O117)</f>
        <v>4377.137793011942</v>
      </c>
      <c r="P124" s="10">
        <f>365*(P118-P117)</f>
        <v>3820.8935377962844</v>
      </c>
      <c r="Q124" s="10">
        <f>365*(Q118-Q117)</f>
        <v>3550.612713225362</v>
      </c>
    </row>
    <row r="125" spans="8:17" ht="12.75">
      <c r="H125" s="2" t="s">
        <v>16</v>
      </c>
      <c r="I125" s="10">
        <f>365*70-I118</f>
        <v>25535</v>
      </c>
      <c r="J125" s="10">
        <f>365*70-J118</f>
        <v>25535</v>
      </c>
      <c r="K125" s="10">
        <f>365*70-K118</f>
        <v>25535</v>
      </c>
      <c r="L125" s="10">
        <f>365*70-L118</f>
        <v>25535</v>
      </c>
      <c r="M125" s="10"/>
      <c r="N125" s="10">
        <f>365*70-N118</f>
        <v>25535</v>
      </c>
      <c r="O125" s="10">
        <f>365*70-O118</f>
        <v>25535</v>
      </c>
      <c r="P125" s="10">
        <f>365*70-P118</f>
        <v>25535</v>
      </c>
      <c r="Q125" s="10">
        <f>365*70-Q118</f>
        <v>25535</v>
      </c>
    </row>
    <row r="126" spans="8:17" ht="12.75">
      <c r="H126" s="2" t="s">
        <v>18</v>
      </c>
      <c r="I126" s="10">
        <f>SUM(I122:I125)</f>
        <v>31170.960172071267</v>
      </c>
      <c r="J126" s="10">
        <f>SUM(J122:J125)</f>
        <v>31165.25844193213</v>
      </c>
      <c r="K126" s="10">
        <f>SUM(K122:K125)</f>
        <v>31161.14525615501</v>
      </c>
      <c r="L126" s="10">
        <f>SUM(L122:L125)</f>
        <v>31165.78795671947</v>
      </c>
      <c r="M126" s="10"/>
      <c r="N126" s="10">
        <f>SUM(N122:N125)</f>
        <v>31157.09737434291</v>
      </c>
      <c r="O126" s="10">
        <f>SUM(O122:O125)</f>
        <v>31163.383076190024</v>
      </c>
      <c r="P126" s="10">
        <f>SUM(P122:P125)</f>
        <v>31170.414039295905</v>
      </c>
      <c r="Q126" s="10">
        <f>SUM(Q122:Q125)</f>
        <v>31134.510602340695</v>
      </c>
    </row>
    <row r="127" spans="9:17" ht="12.75"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2.75">
      <c r="A128" s="21"/>
      <c r="B128" s="21"/>
      <c r="C128" s="57" t="s">
        <v>22</v>
      </c>
      <c r="D128" s="57"/>
      <c r="E128" s="57"/>
      <c r="F128" s="57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24.75">
      <c r="A129" s="21" t="s">
        <v>25</v>
      </c>
      <c r="B129" s="28" t="s">
        <v>8</v>
      </c>
      <c r="C129" s="28" t="s">
        <v>115</v>
      </c>
      <c r="D129" s="28" t="s">
        <v>116</v>
      </c>
      <c r="E129" s="28" t="s">
        <v>0</v>
      </c>
      <c r="F129" s="28" t="s">
        <v>12</v>
      </c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2.75">
      <c r="A130" s="21" t="s">
        <v>2</v>
      </c>
      <c r="B130" s="22" t="s">
        <v>9</v>
      </c>
      <c r="C130" s="23">
        <v>14.0056897041047</v>
      </c>
      <c r="D130" s="23">
        <v>14.82022258112423</v>
      </c>
      <c r="E130" s="23">
        <v>15.40782054928415</v>
      </c>
      <c r="F130" s="23">
        <v>14.74457761150436</v>
      </c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2.75">
      <c r="A131" s="21" t="s">
        <v>3</v>
      </c>
      <c r="B131" s="22" t="s">
        <v>9</v>
      </c>
      <c r="C131" s="23">
        <v>37.689494357032856</v>
      </c>
      <c r="D131" s="23">
        <v>36.175084067933255</v>
      </c>
      <c r="E131" s="23">
        <v>35.55434756483492</v>
      </c>
      <c r="F131" s="23">
        <f>AVERAGE(C131:E131)</f>
        <v>36.47297532993368</v>
      </c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2.75">
      <c r="A132" s="21" t="s">
        <v>4</v>
      </c>
      <c r="B132" s="24" t="s">
        <v>10</v>
      </c>
      <c r="C132" s="25">
        <v>6.017931398980134</v>
      </c>
      <c r="D132" s="23">
        <v>2.8957284020378626</v>
      </c>
      <c r="E132" s="25">
        <v>4.1816162862430595</v>
      </c>
      <c r="F132" s="23">
        <f>AVERAGE(C132:E132)</f>
        <v>4.365092029087019</v>
      </c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>
      <c r="A133" s="21" t="s">
        <v>113</v>
      </c>
      <c r="B133" s="24" t="s">
        <v>10</v>
      </c>
      <c r="C133" s="26">
        <v>15</v>
      </c>
      <c r="D133" s="26">
        <v>15</v>
      </c>
      <c r="E133" s="26">
        <v>15</v>
      </c>
      <c r="F133" s="23">
        <f>AVERAGE(C133:E133)</f>
        <v>15</v>
      </c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2.75">
      <c r="A134" s="21"/>
      <c r="B134" s="21"/>
      <c r="C134" s="21"/>
      <c r="D134" s="21"/>
      <c r="E134" s="21"/>
      <c r="F134" s="21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2.75">
      <c r="A135" s="21"/>
      <c r="B135" s="21"/>
      <c r="C135" s="57" t="s">
        <v>23</v>
      </c>
      <c r="D135" s="57"/>
      <c r="E135" s="57"/>
      <c r="F135" s="57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24.75">
      <c r="A136" s="21" t="s">
        <v>24</v>
      </c>
      <c r="B136" s="28" t="s">
        <v>8</v>
      </c>
      <c r="C136" s="28" t="s">
        <v>115</v>
      </c>
      <c r="D136" s="28" t="s">
        <v>116</v>
      </c>
      <c r="E136" s="28" t="s">
        <v>0</v>
      </c>
      <c r="F136" s="28" t="s">
        <v>12</v>
      </c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2.75">
      <c r="A137" s="21" t="s">
        <v>2</v>
      </c>
      <c r="B137" s="22" t="s">
        <v>9</v>
      </c>
      <c r="C137" s="23">
        <v>15.986089379584481</v>
      </c>
      <c r="D137" s="23">
        <v>15.088131972853393</v>
      </c>
      <c r="E137" s="23">
        <v>14.083708672013445</v>
      </c>
      <c r="F137" s="23">
        <v>15.052643341483773</v>
      </c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24.75">
      <c r="A138" s="21" t="s">
        <v>3</v>
      </c>
      <c r="B138" s="22" t="s">
        <v>21</v>
      </c>
      <c r="C138" s="27" t="s">
        <v>20</v>
      </c>
      <c r="D138" s="23">
        <v>34.031808934099956</v>
      </c>
      <c r="E138" s="23">
        <v>34.33371673169879</v>
      </c>
      <c r="F138" s="23">
        <v>40.42295446195333</v>
      </c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2.75">
      <c r="A139" s="21" t="s">
        <v>4</v>
      </c>
      <c r="B139" s="24" t="s">
        <v>10</v>
      </c>
      <c r="C139" s="23">
        <v>8.277241619540117</v>
      </c>
      <c r="D139" s="23">
        <v>3.0078416629809803</v>
      </c>
      <c r="E139" s="23">
        <v>4.531798526585521</v>
      </c>
      <c r="F139" s="23">
        <v>5.272293936368873</v>
      </c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2.75">
      <c r="A140" s="21" t="s">
        <v>113</v>
      </c>
      <c r="B140" s="24" t="s">
        <v>10</v>
      </c>
      <c r="C140" s="26">
        <v>15</v>
      </c>
      <c r="D140" s="26">
        <v>15</v>
      </c>
      <c r="E140" s="26">
        <v>15</v>
      </c>
      <c r="F140" s="26">
        <v>15</v>
      </c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9:17" ht="12.75"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9:17" ht="12.75"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9:17" ht="12.75"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9:17" ht="12.75"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9:17" ht="12.75"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9:17" ht="12.75"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9:17" ht="12.75"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9:17" ht="12.75"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9:17" ht="12.75"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9:17" ht="12.75"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9:17" ht="12.75"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9:17" ht="12.75"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9:17" ht="12.75"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9:17" ht="12.75"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9:17" ht="12.75"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9:17" ht="12.75"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9:17" ht="12.75"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9:17" ht="12.75"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9:17" ht="12.75"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9:17" ht="12.75">
      <c r="I160" s="9"/>
      <c r="J160" s="9"/>
      <c r="K160" s="9"/>
      <c r="L160" s="9"/>
      <c r="M160" s="9"/>
      <c r="N160" s="9"/>
      <c r="O160" s="9"/>
      <c r="P160" s="9"/>
      <c r="Q160" s="9"/>
    </row>
    <row r="161" ht="12.75">
      <c r="A161" t="s">
        <v>99</v>
      </c>
    </row>
    <row r="162" ht="12.75">
      <c r="A162"/>
    </row>
    <row r="163" ht="12.75">
      <c r="A163" t="s">
        <v>100</v>
      </c>
    </row>
    <row r="164" spans="10:18" ht="12.75">
      <c r="J164" s="2" t="s">
        <v>86</v>
      </c>
      <c r="R164" s="2" t="s">
        <v>86</v>
      </c>
    </row>
    <row r="165" spans="1:18" ht="12.75">
      <c r="A165" s="2" t="s">
        <v>86</v>
      </c>
      <c r="J165" s="2" t="s">
        <v>37</v>
      </c>
      <c r="R165" s="2" t="s">
        <v>38</v>
      </c>
    </row>
    <row r="166" spans="1:28" ht="12.75">
      <c r="A166" s="2" t="s">
        <v>85</v>
      </c>
      <c r="B166" t="s">
        <v>97</v>
      </c>
      <c r="C166" t="s">
        <v>90</v>
      </c>
      <c r="D166" t="s">
        <v>87</v>
      </c>
      <c r="E166" t="s">
        <v>88</v>
      </c>
      <c r="F166" t="s">
        <v>89</v>
      </c>
      <c r="G166" t="s">
        <v>91</v>
      </c>
      <c r="H166" t="s">
        <v>92</v>
      </c>
      <c r="I166" t="s">
        <v>98</v>
      </c>
      <c r="J166" t="s">
        <v>97</v>
      </c>
      <c r="K166" t="s">
        <v>90</v>
      </c>
      <c r="L166" t="s">
        <v>87</v>
      </c>
      <c r="M166" t="s">
        <v>88</v>
      </c>
      <c r="N166" t="s">
        <v>89</v>
      </c>
      <c r="O166" t="s">
        <v>91</v>
      </c>
      <c r="P166" t="s">
        <v>92</v>
      </c>
      <c r="Q166" t="s">
        <v>98</v>
      </c>
      <c r="R166" t="s">
        <v>97</v>
      </c>
      <c r="S166" t="s">
        <v>90</v>
      </c>
      <c r="T166" t="s">
        <v>87</v>
      </c>
      <c r="U166" t="s">
        <v>88</v>
      </c>
      <c r="V166" t="s">
        <v>89</v>
      </c>
      <c r="W166" t="s">
        <v>91</v>
      </c>
      <c r="X166" t="s">
        <v>92</v>
      </c>
      <c r="Y166" t="s">
        <v>98</v>
      </c>
      <c r="AA166" s="2" t="s">
        <v>43</v>
      </c>
      <c r="AB166" s="2" t="s">
        <v>44</v>
      </c>
    </row>
    <row r="167" spans="1:28" ht="12.75">
      <c r="A167" s="3">
        <v>12</v>
      </c>
      <c r="B167" s="4">
        <v>21.275</v>
      </c>
      <c r="J167" s="2">
        <f>IF(B167="","",B167/B$186)</f>
        <v>0.0006430545360335074</v>
      </c>
      <c r="K167" s="2">
        <f aca="true" t="shared" si="3" ref="K167:Q182">IF(C167="","",C167/C$186)</f>
      </c>
      <c r="L167" s="2">
        <f t="shared" si="3"/>
      </c>
      <c r="M167" s="2">
        <f t="shared" si="3"/>
      </c>
      <c r="N167" s="2">
        <f t="shared" si="3"/>
      </c>
      <c r="O167" s="2">
        <f t="shared" si="3"/>
      </c>
      <c r="P167" s="2">
        <f t="shared" si="3"/>
      </c>
      <c r="Q167" s="2">
        <f t="shared" si="3"/>
      </c>
      <c r="R167" s="2">
        <f aca="true" t="shared" si="4" ref="R167:R185">IF(J167="","",LOG(J167))</f>
        <v>-3.1917521939590356</v>
      </c>
      <c r="S167" s="2">
        <f aca="true" t="shared" si="5" ref="S167:Y182">IF(K167="","",LOG(K167))</f>
      </c>
      <c r="T167" s="2">
        <f t="shared" si="5"/>
      </c>
      <c r="U167" s="2">
        <f t="shared" si="5"/>
      </c>
      <c r="V167" s="2">
        <f t="shared" si="5"/>
      </c>
      <c r="W167" s="2">
        <f t="shared" si="5"/>
      </c>
      <c r="X167" s="2">
        <f t="shared" si="5"/>
      </c>
      <c r="Y167" s="2">
        <f t="shared" si="5"/>
      </c>
      <c r="AA167" s="2">
        <f>LOG(B167/1000)</f>
        <v>-1.6721304312433745</v>
      </c>
      <c r="AB167" s="10">
        <f>A167-20</f>
        <v>-8</v>
      </c>
    </row>
    <row r="168" spans="1:28" ht="12.75">
      <c r="A168" s="3">
        <v>13</v>
      </c>
      <c r="B168" s="4">
        <v>67.87</v>
      </c>
      <c r="C168" s="2">
        <v>6.495</v>
      </c>
      <c r="E168" s="2">
        <v>5.5265</v>
      </c>
      <c r="F168" s="2">
        <v>0.3651</v>
      </c>
      <c r="J168" s="2">
        <f aca="true" t="shared" si="6" ref="J168:J190">IF(B168="","",B168/B$186)</f>
        <v>0.0020514270909797487</v>
      </c>
      <c r="K168" s="2">
        <f t="shared" si="3"/>
        <v>0.01487534354142128</v>
      </c>
      <c r="L168" s="2">
        <f t="shared" si="3"/>
      </c>
      <c r="M168" s="2">
        <f t="shared" si="3"/>
        <v>0.002935835167337027</v>
      </c>
      <c r="N168" s="2">
        <f t="shared" si="3"/>
        <v>0.0018294201861130995</v>
      </c>
      <c r="O168" s="2">
        <f t="shared" si="3"/>
      </c>
      <c r="P168" s="2">
        <f t="shared" si="3"/>
      </c>
      <c r="Q168" s="2">
        <f t="shared" si="3"/>
      </c>
      <c r="R168" s="2">
        <f t="shared" si="4"/>
        <v>-2.6879439135241943</v>
      </c>
      <c r="S168" s="2">
        <f t="shared" si="5"/>
        <v>-1.8275329955879365</v>
      </c>
      <c r="T168" s="2">
        <f t="shared" si="5"/>
      </c>
      <c r="U168" s="2">
        <f t="shared" si="5"/>
        <v>-2.532268331564389</v>
      </c>
      <c r="V168" s="2">
        <f t="shared" si="5"/>
        <v>-2.737686533150198</v>
      </c>
      <c r="W168" s="2">
        <f t="shared" si="5"/>
      </c>
      <c r="X168" s="2">
        <f t="shared" si="5"/>
      </c>
      <c r="Y168" s="2">
        <f t="shared" si="5"/>
      </c>
      <c r="AA168" s="2">
        <f aca="true" t="shared" si="7" ref="AA168:AA190">LOG(B168/1000)</f>
        <v>-1.1683221508085333</v>
      </c>
      <c r="AB168" s="10">
        <f aca="true" t="shared" si="8" ref="AB168:AB190">A168-20</f>
        <v>-7</v>
      </c>
    </row>
    <row r="169" spans="1:28" ht="12.75">
      <c r="A169" s="3">
        <v>14</v>
      </c>
      <c r="B169" s="4">
        <v>205.7</v>
      </c>
      <c r="C169" s="2">
        <v>15.77</v>
      </c>
      <c r="D169" s="2">
        <v>0.2568</v>
      </c>
      <c r="E169" s="2">
        <v>20.57</v>
      </c>
      <c r="F169" s="2">
        <v>2.683</v>
      </c>
      <c r="J169" s="2">
        <f t="shared" si="6"/>
        <v>0.00621745325791269</v>
      </c>
      <c r="K169" s="2">
        <f t="shared" si="3"/>
        <v>0.03611765475723073</v>
      </c>
      <c r="L169" s="2">
        <f t="shared" si="3"/>
        <v>0.000948952119516444</v>
      </c>
      <c r="M169" s="2">
        <f t="shared" si="3"/>
        <v>0.010927373453745162</v>
      </c>
      <c r="N169" s="2">
        <f t="shared" si="3"/>
        <v>0.013443808160343594</v>
      </c>
      <c r="O169" s="2">
        <f t="shared" si="3"/>
      </c>
      <c r="P169" s="2">
        <f t="shared" si="3"/>
      </c>
      <c r="Q169" s="2">
        <f t="shared" si="3"/>
      </c>
      <c r="R169" s="2">
        <f t="shared" si="4"/>
        <v>-2.2063874710209372</v>
      </c>
      <c r="S169" s="2">
        <f t="shared" si="5"/>
        <v>-1.4422804576680803</v>
      </c>
      <c r="T169" s="2">
        <f t="shared" si="5"/>
        <v>-3.022755699853412</v>
      </c>
      <c r="U169" s="2">
        <f t="shared" si="5"/>
        <v>-1.961484214228235</v>
      </c>
      <c r="V169" s="2">
        <f t="shared" si="5"/>
        <v>-1.871477693427986</v>
      </c>
      <c r="W169" s="2">
        <f t="shared" si="5"/>
      </c>
      <c r="X169" s="2">
        <f t="shared" si="5"/>
      </c>
      <c r="Y169" s="2">
        <f t="shared" si="5"/>
      </c>
      <c r="AA169" s="2">
        <f t="shared" si="7"/>
        <v>-0.6867657083052761</v>
      </c>
      <c r="AB169" s="10">
        <f t="shared" si="8"/>
        <v>-6</v>
      </c>
    </row>
    <row r="170" spans="1:28" ht="12.75">
      <c r="A170" s="3">
        <v>15</v>
      </c>
      <c r="B170" s="4">
        <v>546.9</v>
      </c>
      <c r="C170" s="2">
        <v>36.7</v>
      </c>
      <c r="D170" s="2">
        <v>0.7784</v>
      </c>
      <c r="E170" s="2">
        <v>36.65</v>
      </c>
      <c r="F170" s="2">
        <v>9.440999999999999</v>
      </c>
      <c r="G170" s="2">
        <v>0.3508</v>
      </c>
      <c r="H170" s="2">
        <v>0.2935</v>
      </c>
      <c r="J170" s="2">
        <f t="shared" si="6"/>
        <v>0.016530506498553477</v>
      </c>
      <c r="K170" s="2">
        <f t="shared" si="3"/>
        <v>0.0840531344064913</v>
      </c>
      <c r="L170" s="2">
        <f t="shared" si="3"/>
        <v>0.0028764187298738323</v>
      </c>
      <c r="M170" s="2">
        <f t="shared" si="3"/>
        <v>0.019469530242088487</v>
      </c>
      <c r="N170" s="2">
        <f t="shared" si="3"/>
        <v>0.04730637079455977</v>
      </c>
      <c r="O170" s="2">
        <f t="shared" si="3"/>
        <v>0.002631939978563773</v>
      </c>
      <c r="P170" s="2">
        <f t="shared" si="3"/>
        <v>0.004195340099242408</v>
      </c>
      <c r="Q170" s="2">
        <f t="shared" si="3"/>
      </c>
      <c r="R170" s="2">
        <f t="shared" si="4"/>
        <v>-1.7817138393410223</v>
      </c>
      <c r="S170" s="2">
        <f t="shared" si="5"/>
        <v>-1.0754460867448938</v>
      </c>
      <c r="T170" s="2">
        <f t="shared" si="5"/>
        <v>-2.541147891989932</v>
      </c>
      <c r="U170" s="2">
        <f t="shared" si="5"/>
        <v>-1.7106445269458124</v>
      </c>
      <c r="V170" s="2">
        <f t="shared" si="5"/>
        <v>-1.3250803684670422</v>
      </c>
      <c r="W170" s="2">
        <f t="shared" si="5"/>
        <v>-2.57972401903824</v>
      </c>
      <c r="X170" s="2">
        <f t="shared" si="5"/>
        <v>-2.3772328269122145</v>
      </c>
      <c r="Y170" s="2">
        <f t="shared" si="5"/>
      </c>
      <c r="AA170" s="2">
        <f t="shared" si="7"/>
        <v>-0.2620920766253613</v>
      </c>
      <c r="AB170" s="10">
        <f t="shared" si="8"/>
        <v>-5</v>
      </c>
    </row>
    <row r="171" spans="1:28" ht="12.75">
      <c r="A171" s="3">
        <v>16</v>
      </c>
      <c r="B171" s="4">
        <v>1113</v>
      </c>
      <c r="C171" s="2">
        <v>47.94</v>
      </c>
      <c r="D171" s="2">
        <v>1.514</v>
      </c>
      <c r="E171" s="2">
        <v>63.515</v>
      </c>
      <c r="G171" s="2">
        <v>0.8523</v>
      </c>
      <c r="H171" s="2">
        <v>0.73895</v>
      </c>
      <c r="J171" s="2">
        <f t="shared" si="6"/>
        <v>0.03364134893561898</v>
      </c>
      <c r="K171" s="2">
        <f t="shared" si="3"/>
        <v>0.10979583824106792</v>
      </c>
      <c r="L171" s="2">
        <f t="shared" si="3"/>
        <v>0.005594678773161591</v>
      </c>
      <c r="M171" s="2">
        <f t="shared" si="3"/>
        <v>0.03374098808530015</v>
      </c>
      <c r="N171" s="2">
        <f t="shared" si="3"/>
      </c>
      <c r="O171" s="2">
        <f t="shared" si="3"/>
        <v>0.006394533762057878</v>
      </c>
      <c r="P171" s="2">
        <f t="shared" si="3"/>
        <v>0.010562679953441833</v>
      </c>
      <c r="Q171" s="2">
        <f t="shared" si="3"/>
      </c>
      <c r="R171" s="2">
        <f t="shared" si="4"/>
        <v>-1.4731265983809527</v>
      </c>
      <c r="S171" s="2">
        <f t="shared" si="5"/>
        <v>-0.9594141212993481</v>
      </c>
      <c r="T171" s="2">
        <f t="shared" si="5"/>
        <v>-2.252224844086174</v>
      </c>
      <c r="U171" s="2">
        <f t="shared" si="5"/>
        <v>-1.4718422034982221</v>
      </c>
      <c r="V171" s="2">
        <f t="shared" si="5"/>
      </c>
      <c r="W171" s="2">
        <f t="shared" si="5"/>
        <v>-2.194191115289645</v>
      </c>
      <c r="X171" s="2">
        <f t="shared" si="5"/>
        <v>-1.9762258790248737</v>
      </c>
      <c r="Y171" s="2">
        <f t="shared" si="5"/>
      </c>
      <c r="AA171" s="2">
        <f t="shared" si="7"/>
        <v>0.04649516433470831</v>
      </c>
      <c r="AB171" s="10">
        <f t="shared" si="8"/>
        <v>-4</v>
      </c>
    </row>
    <row r="172" spans="1:28" ht="12.75">
      <c r="A172" s="3">
        <v>17</v>
      </c>
      <c r="C172" s="2">
        <v>59.9</v>
      </c>
      <c r="D172" s="2">
        <v>2.259</v>
      </c>
      <c r="F172" s="2">
        <v>28.24</v>
      </c>
      <c r="J172" s="2">
        <f t="shared" si="6"/>
      </c>
      <c r="K172" s="2">
        <f t="shared" si="3"/>
        <v>0.13718754089778823</v>
      </c>
      <c r="L172" s="2">
        <f t="shared" si="3"/>
        <v>0.008347674602755635</v>
      </c>
      <c r="M172" s="2">
        <f t="shared" si="3"/>
      </c>
      <c r="N172" s="2">
        <f t="shared" si="3"/>
        <v>0.14150322118826056</v>
      </c>
      <c r="O172" s="2">
        <f t="shared" si="3"/>
      </c>
      <c r="P172" s="2">
        <f t="shared" si="3"/>
      </c>
      <c r="Q172" s="2">
        <f t="shared" si="3"/>
      </c>
      <c r="R172" s="2">
        <f t="shared" si="4"/>
      </c>
      <c r="S172" s="2">
        <f t="shared" si="5"/>
        <v>-0.8626853286076718</v>
      </c>
      <c r="T172" s="2">
        <f t="shared" si="5"/>
        <v>-2.0784344883298647</v>
      </c>
      <c r="U172" s="2">
        <f t="shared" si="5"/>
      </c>
      <c r="V172" s="2">
        <f t="shared" si="5"/>
        <v>-0.8492336737201589</v>
      </c>
      <c r="W172" s="2">
        <f t="shared" si="5"/>
      </c>
      <c r="X172" s="2">
        <f t="shared" si="5"/>
      </c>
      <c r="Y172" s="2">
        <f t="shared" si="5"/>
      </c>
      <c r="AB172" s="10">
        <f t="shared" si="8"/>
        <v>-3</v>
      </c>
    </row>
    <row r="173" spans="1:28" ht="12.75">
      <c r="A173" s="3">
        <v>18</v>
      </c>
      <c r="B173" s="4">
        <v>1394</v>
      </c>
      <c r="C173" s="2">
        <v>71.66</v>
      </c>
      <c r="E173" s="2">
        <v>95.655</v>
      </c>
      <c r="J173" s="2">
        <f t="shared" si="6"/>
        <v>0.042134807202383516</v>
      </c>
      <c r="K173" s="2">
        <f t="shared" si="3"/>
        <v>0.16412118832613531</v>
      </c>
      <c r="L173" s="2">
        <f t="shared" si="3"/>
      </c>
      <c r="M173" s="2">
        <f t="shared" si="3"/>
        <v>0.050814677088866965</v>
      </c>
      <c r="N173" s="2">
        <f t="shared" si="3"/>
      </c>
      <c r="O173" s="2">
        <f t="shared" si="3"/>
      </c>
      <c r="P173" s="2">
        <f t="shared" si="3"/>
      </c>
      <c r="Q173" s="2">
        <f t="shared" si="3"/>
      </c>
      <c r="R173" s="2">
        <f t="shared" si="4"/>
        <v>-1.3753589889536706</v>
      </c>
      <c r="S173" s="2">
        <f t="shared" si="5"/>
        <v>-0.7848353471668913</v>
      </c>
      <c r="T173" s="2">
        <f t="shared" si="5"/>
      </c>
      <c r="U173" s="2">
        <f t="shared" si="5"/>
        <v>-1.2940108298800226</v>
      </c>
      <c r="V173" s="2">
        <f t="shared" si="5"/>
      </c>
      <c r="W173" s="2">
        <f t="shared" si="5"/>
      </c>
      <c r="X173" s="2">
        <f t="shared" si="5"/>
      </c>
      <c r="Y173" s="2">
        <f t="shared" si="5"/>
      </c>
      <c r="AA173" s="2">
        <f t="shared" si="7"/>
        <v>0.1442627737619906</v>
      </c>
      <c r="AB173" s="10">
        <f t="shared" si="8"/>
        <v>-2</v>
      </c>
    </row>
    <row r="174" spans="1:28" ht="12.75">
      <c r="A174" s="3">
        <v>19</v>
      </c>
      <c r="B174" s="4">
        <v>1594</v>
      </c>
      <c r="C174" s="2">
        <v>78.52</v>
      </c>
      <c r="D174" s="2">
        <v>3.538</v>
      </c>
      <c r="E174" s="2">
        <v>98.05</v>
      </c>
      <c r="F174" s="2">
        <v>33.83</v>
      </c>
      <c r="H174" s="2">
        <v>4.223</v>
      </c>
      <c r="J174" s="2">
        <f t="shared" si="6"/>
        <v>0.04817997322855045</v>
      </c>
      <c r="K174" s="2">
        <f t="shared" si="3"/>
        <v>0.17983248265933777</v>
      </c>
      <c r="L174" s="2">
        <f t="shared" si="3"/>
        <v>0.013073958718260044</v>
      </c>
      <c r="M174" s="2">
        <f t="shared" si="3"/>
        <v>0.05208696971996661</v>
      </c>
      <c r="N174" s="2">
        <f t="shared" si="3"/>
        <v>0.16951324266284898</v>
      </c>
      <c r="O174" s="2">
        <f t="shared" si="3"/>
      </c>
      <c r="P174" s="2">
        <f t="shared" si="3"/>
        <v>0.060364297237140346</v>
      </c>
      <c r="Q174" s="2">
        <f t="shared" si="3"/>
      </c>
      <c r="R174" s="2">
        <f t="shared" si="4"/>
        <v>-1.3171334456555674</v>
      </c>
      <c r="S174" s="2">
        <f t="shared" si="5"/>
        <v>-0.7451318600690146</v>
      </c>
      <c r="T174" s="2">
        <f t="shared" si="5"/>
        <v>-1.8835928906765236</v>
      </c>
      <c r="U174" s="2">
        <f t="shared" si="5"/>
        <v>-1.2832709079191562</v>
      </c>
      <c r="V174" s="2">
        <f t="shared" si="5"/>
        <v>-0.7707963683119444</v>
      </c>
      <c r="W174" s="2">
        <f t="shared" si="5"/>
      </c>
      <c r="X174" s="2">
        <f t="shared" si="5"/>
        <v>-1.2192198510709398</v>
      </c>
      <c r="Y174" s="2">
        <f t="shared" si="5"/>
      </c>
      <c r="AA174" s="2">
        <f t="shared" si="7"/>
        <v>0.20248831706009357</v>
      </c>
      <c r="AB174" s="10">
        <f t="shared" si="8"/>
        <v>-1</v>
      </c>
    </row>
    <row r="175" spans="1:28" s="6" customFormat="1" ht="12.75">
      <c r="A175" s="7">
        <v>20</v>
      </c>
      <c r="B175" s="5">
        <v>1598</v>
      </c>
      <c r="C175" s="6">
        <v>112.2</v>
      </c>
      <c r="D175" s="6">
        <v>4.226</v>
      </c>
      <c r="F175" s="6">
        <v>37.02</v>
      </c>
      <c r="G175" s="6">
        <v>3.863</v>
      </c>
      <c r="J175" s="2">
        <f t="shared" si="6"/>
        <v>0.04830087654907379</v>
      </c>
      <c r="K175" s="2">
        <f t="shared" si="3"/>
        <v>0.256968983117393</v>
      </c>
      <c r="L175" s="2">
        <f t="shared" si="3"/>
        <v>0.015616322652167029</v>
      </c>
      <c r="M175" s="2">
        <f t="shared" si="3"/>
      </c>
      <c r="N175" s="2">
        <f t="shared" si="3"/>
        <v>0.18549749463135293</v>
      </c>
      <c r="O175" s="2">
        <f t="shared" si="3"/>
        <v>0.028982851018220793</v>
      </c>
      <c r="P175" s="2">
        <f t="shared" si="3"/>
      </c>
      <c r="Q175" s="2">
        <f t="shared" si="3"/>
      </c>
      <c r="R175" s="6">
        <f t="shared" si="4"/>
        <v>-1.3160449877376885</v>
      </c>
      <c r="S175" s="6">
        <f t="shared" si="5"/>
        <v>-0.5901192940768405</v>
      </c>
      <c r="T175" s="6">
        <f t="shared" si="5"/>
        <v>-1.8064212265339332</v>
      </c>
      <c r="U175" s="6">
        <f t="shared" si="5"/>
      </c>
      <c r="V175" s="6">
        <f t="shared" si="5"/>
        <v>-0.7316619516830397</v>
      </c>
      <c r="W175" s="6">
        <f t="shared" si="5"/>
        <v>-1.5378588955874228</v>
      </c>
      <c r="X175" s="6">
        <f t="shared" si="5"/>
      </c>
      <c r="Y175" s="6">
        <f t="shared" si="5"/>
      </c>
      <c r="AA175" s="2">
        <f t="shared" si="7"/>
        <v>0.2035767749779726</v>
      </c>
      <c r="AB175" s="10">
        <f t="shared" si="8"/>
        <v>0</v>
      </c>
    </row>
    <row r="176" spans="1:28" ht="12.75">
      <c r="A176" s="3">
        <v>21</v>
      </c>
      <c r="B176" s="4">
        <v>1913</v>
      </c>
      <c r="D176" s="2">
        <v>11.75</v>
      </c>
      <c r="F176" s="2">
        <v>39.765</v>
      </c>
      <c r="J176" s="2">
        <f t="shared" si="6"/>
        <v>0.05782201304028671</v>
      </c>
      <c r="K176" s="2">
        <f t="shared" si="3"/>
      </c>
      <c r="L176" s="2">
        <f t="shared" si="3"/>
        <v>0.04341973288285911</v>
      </c>
      <c r="M176" s="2">
        <f t="shared" si="3"/>
      </c>
      <c r="N176" s="2">
        <f t="shared" si="3"/>
        <v>0.19925196850393703</v>
      </c>
      <c r="O176" s="2">
        <f t="shared" si="3"/>
      </c>
      <c r="P176" s="2">
        <f t="shared" si="3"/>
      </c>
      <c r="Q176" s="2">
        <f t="shared" si="3"/>
      </c>
      <c r="R176" s="2">
        <f t="shared" si="4"/>
        <v>-1.2379067926883651</v>
      </c>
      <c r="S176" s="2">
        <f t="shared" si="5"/>
      </c>
      <c r="T176" s="2">
        <f t="shared" si="5"/>
        <v>-1.3623128526424728</v>
      </c>
      <c r="U176" s="2">
        <f t="shared" si="5"/>
      </c>
      <c r="V176" s="2">
        <f t="shared" si="5"/>
        <v>-0.7005973793111504</v>
      </c>
      <c r="W176" s="2">
        <f t="shared" si="5"/>
      </c>
      <c r="X176" s="2">
        <f t="shared" si="5"/>
      </c>
      <c r="Y176" s="2">
        <f t="shared" si="5"/>
      </c>
      <c r="AA176" s="2">
        <f t="shared" si="7"/>
        <v>0.28171497002729584</v>
      </c>
      <c r="AB176" s="10">
        <f t="shared" si="8"/>
        <v>1</v>
      </c>
    </row>
    <row r="177" spans="1:28" ht="12.75">
      <c r="A177" s="3">
        <v>22</v>
      </c>
      <c r="G177" s="2">
        <v>12.3</v>
      </c>
      <c r="J177" s="2">
        <f t="shared" si="6"/>
      </c>
      <c r="K177" s="2">
        <f t="shared" si="3"/>
      </c>
      <c r="L177" s="2">
        <f t="shared" si="3"/>
      </c>
      <c r="M177" s="2">
        <f t="shared" si="3"/>
      </c>
      <c r="N177" s="2">
        <f t="shared" si="3"/>
      </c>
      <c r="O177" s="2">
        <f t="shared" si="3"/>
        <v>0.09228295819935692</v>
      </c>
      <c r="P177" s="2">
        <f t="shared" si="3"/>
      </c>
      <c r="Q177" s="2">
        <f t="shared" si="3"/>
      </c>
      <c r="R177" s="2">
        <f t="shared" si="4"/>
      </c>
      <c r="S177" s="2">
        <f t="shared" si="5"/>
      </c>
      <c r="T177" s="2">
        <f t="shared" si="5"/>
      </c>
      <c r="U177" s="2">
        <f t="shared" si="5"/>
      </c>
      <c r="V177" s="2">
        <f t="shared" si="5"/>
      </c>
      <c r="W177" s="2">
        <f t="shared" si="5"/>
        <v>-1.0348784922928451</v>
      </c>
      <c r="X177" s="2">
        <f t="shared" si="5"/>
      </c>
      <c r="Y177" s="2">
        <f t="shared" si="5"/>
      </c>
      <c r="AB177" s="10">
        <f t="shared" si="8"/>
        <v>2</v>
      </c>
    </row>
    <row r="178" spans="1:28" ht="12.75">
      <c r="A178" s="3">
        <v>23</v>
      </c>
      <c r="B178" s="4">
        <v>2505</v>
      </c>
      <c r="C178" s="2">
        <v>160.7</v>
      </c>
      <c r="D178" s="2">
        <v>13.46</v>
      </c>
      <c r="F178" s="2">
        <v>66.35</v>
      </c>
      <c r="H178" s="2">
        <v>10.79</v>
      </c>
      <c r="J178" s="2">
        <f t="shared" si="6"/>
        <v>0.07571570447774083</v>
      </c>
      <c r="K178" s="2">
        <f t="shared" si="3"/>
        <v>0.368047375997906</v>
      </c>
      <c r="L178" s="2">
        <f t="shared" si="3"/>
        <v>0.04973868975347095</v>
      </c>
      <c r="M178" s="2">
        <f t="shared" si="3"/>
      </c>
      <c r="N178" s="2">
        <f t="shared" si="3"/>
        <v>0.3324624194702935</v>
      </c>
      <c r="O178" s="2">
        <f t="shared" si="3"/>
      </c>
      <c r="P178" s="2">
        <f t="shared" si="3"/>
        <v>0.1542341385718078</v>
      </c>
      <c r="Q178" s="2">
        <f t="shared" si="3"/>
      </c>
      <c r="R178" s="2">
        <f t="shared" si="4"/>
        <v>-1.1208140325123965</v>
      </c>
      <c r="S178" s="2">
        <f t="shared" si="5"/>
        <v>-0.4340962742336386</v>
      </c>
      <c r="T178" s="2">
        <f t="shared" si="5"/>
        <v>-1.3033056593622698</v>
      </c>
      <c r="U178" s="2">
        <f t="shared" si="5"/>
      </c>
      <c r="V178" s="2">
        <f t="shared" si="5"/>
        <v>-0.47825743889947075</v>
      </c>
      <c r="W178" s="2">
        <f t="shared" si="5"/>
      </c>
      <c r="X178" s="2">
        <f t="shared" si="5"/>
        <v>-0.8118194878129369</v>
      </c>
      <c r="Y178" s="2">
        <f t="shared" si="5"/>
      </c>
      <c r="AA178" s="2">
        <f t="shared" si="7"/>
        <v>0.3988077302032645</v>
      </c>
      <c r="AB178" s="10">
        <f t="shared" si="8"/>
        <v>3</v>
      </c>
    </row>
    <row r="179" spans="1:28" ht="12.75">
      <c r="A179" s="3">
        <v>26</v>
      </c>
      <c r="B179" s="4">
        <v>4280</v>
      </c>
      <c r="C179" s="2">
        <v>220.1</v>
      </c>
      <c r="D179" s="2">
        <v>25.16</v>
      </c>
      <c r="E179" s="2">
        <v>129.4</v>
      </c>
      <c r="F179" s="2">
        <v>94.96</v>
      </c>
      <c r="J179" s="2">
        <f t="shared" si="6"/>
        <v>0.12936655295997235</v>
      </c>
      <c r="K179" s="2">
        <f t="shared" si="3"/>
        <v>0.5040897788247611</v>
      </c>
      <c r="L179" s="2">
        <f t="shared" si="3"/>
        <v>0.09297365781555192</v>
      </c>
      <c r="M179" s="2">
        <f t="shared" si="3"/>
        <v>0.06874098808530014</v>
      </c>
      <c r="N179" s="2">
        <f t="shared" si="3"/>
        <v>0.47581961345740875</v>
      </c>
      <c r="O179" s="2">
        <f t="shared" si="3"/>
      </c>
      <c r="P179" s="2">
        <f t="shared" si="3"/>
      </c>
      <c r="Q179" s="2">
        <f t="shared" si="3"/>
      </c>
      <c r="R179" s="2">
        <f t="shared" si="4"/>
        <v>-0.8881779937024891</v>
      </c>
      <c r="S179" s="2">
        <f t="shared" si="5"/>
        <v>-0.29749210844363516</v>
      </c>
      <c r="T179" s="2">
        <f t="shared" si="5"/>
        <v>-1.0316400824769965</v>
      </c>
      <c r="U179" s="2">
        <f t="shared" si="5"/>
        <v>-1.1627842295902775</v>
      </c>
      <c r="V179" s="2">
        <f t="shared" si="5"/>
        <v>-0.32255766015339027</v>
      </c>
      <c r="W179" s="2">
        <f t="shared" si="5"/>
      </c>
      <c r="X179" s="2">
        <f t="shared" si="5"/>
      </c>
      <c r="Y179" s="2">
        <f t="shared" si="5"/>
      </c>
      <c r="AA179" s="2">
        <f t="shared" si="7"/>
        <v>0.631443769013172</v>
      </c>
      <c r="AB179" s="10">
        <f t="shared" si="8"/>
        <v>6</v>
      </c>
    </row>
    <row r="180" spans="1:28" ht="12.75">
      <c r="A180" s="3">
        <v>27</v>
      </c>
      <c r="B180" s="4">
        <v>5353</v>
      </c>
      <c r="C180" s="2">
        <v>301.1</v>
      </c>
      <c r="D180" s="2">
        <v>42.89</v>
      </c>
      <c r="E180" s="2">
        <v>155</v>
      </c>
      <c r="F180" s="2">
        <v>91.11</v>
      </c>
      <c r="G180" s="2">
        <v>37.61</v>
      </c>
      <c r="H180" s="2">
        <v>24.12</v>
      </c>
      <c r="I180" s="3">
        <v>6.11</v>
      </c>
      <c r="J180" s="2">
        <f t="shared" si="6"/>
        <v>0.16179886869035795</v>
      </c>
      <c r="K180" s="2">
        <f t="shared" si="3"/>
        <v>0.6896021463159273</v>
      </c>
      <c r="L180" s="2">
        <f t="shared" si="3"/>
        <v>0.15849126326347465</v>
      </c>
      <c r="M180" s="2">
        <f t="shared" si="3"/>
        <v>0.08234044167868255</v>
      </c>
      <c r="N180" s="2">
        <f t="shared" si="3"/>
        <v>0.4565282748747316</v>
      </c>
      <c r="O180" s="2">
        <f t="shared" si="3"/>
        <v>0.2821757770632369</v>
      </c>
      <c r="P180" s="2">
        <f t="shared" si="3"/>
        <v>0.34477547936533864</v>
      </c>
      <c r="Q180" s="2">
        <f t="shared" si="3"/>
        <v>0.04956541893614556</v>
      </c>
      <c r="R180" s="2">
        <f t="shared" si="4"/>
        <v>-0.7910245193322294</v>
      </c>
      <c r="S180" s="2">
        <f t="shared" si="5"/>
        <v>-0.16140139548422375</v>
      </c>
      <c r="T180" s="2">
        <f t="shared" si="5"/>
        <v>-0.7999946730111546</v>
      </c>
      <c r="U180" s="2">
        <f t="shared" si="5"/>
        <v>-1.0843868077526675</v>
      </c>
      <c r="V180" s="2">
        <f t="shared" si="5"/>
        <v>-0.3405323194619974</v>
      </c>
      <c r="W180" s="2">
        <f t="shared" si="5"/>
        <v>-0.549480270309844</v>
      </c>
      <c r="X180" s="2">
        <f t="shared" si="5"/>
        <v>-0.4624636290277339</v>
      </c>
      <c r="Y180" s="2">
        <f t="shared" si="5"/>
        <v>-1.3048212187323553</v>
      </c>
      <c r="AA180" s="2">
        <f t="shared" si="7"/>
        <v>0.7285972433834316</v>
      </c>
      <c r="AB180" s="10">
        <f t="shared" si="8"/>
        <v>7</v>
      </c>
    </row>
    <row r="181" spans="1:28" ht="12.75">
      <c r="A181" s="3">
        <v>34</v>
      </c>
      <c r="B181" s="4">
        <v>8095</v>
      </c>
      <c r="C181" s="2">
        <v>398.5</v>
      </c>
      <c r="D181" s="2">
        <v>67.85</v>
      </c>
      <c r="E181" s="2">
        <v>348.9</v>
      </c>
      <c r="F181" s="2">
        <v>115.3</v>
      </c>
      <c r="G181" s="2">
        <v>64.87</v>
      </c>
      <c r="H181" s="2">
        <v>49.77</v>
      </c>
      <c r="I181" s="3">
        <v>15.04</v>
      </c>
      <c r="J181" s="2">
        <f t="shared" si="6"/>
        <v>0.24467809490910658</v>
      </c>
      <c r="K181" s="2">
        <f t="shared" si="3"/>
        <v>0.9126750425336998</v>
      </c>
      <c r="L181" s="2">
        <f t="shared" si="3"/>
        <v>0.25072586179591405</v>
      </c>
      <c r="M181" s="2">
        <f t="shared" si="3"/>
        <v>0.18534567807543448</v>
      </c>
      <c r="N181" s="2">
        <f t="shared" si="3"/>
        <v>0.5777380100214746</v>
      </c>
      <c r="O181" s="2">
        <f t="shared" si="3"/>
        <v>0.4866988210075027</v>
      </c>
      <c r="P181" s="2">
        <f t="shared" si="3"/>
        <v>0.7114210451083295</v>
      </c>
      <c r="Q181" s="2">
        <f t="shared" si="3"/>
        <v>0.12200718507358906</v>
      </c>
      <c r="R181" s="2">
        <f t="shared" si="4"/>
        <v>-0.6114049096262686</v>
      </c>
      <c r="S181" s="2">
        <f t="shared" si="5"/>
        <v>-0.039683825264851945</v>
      </c>
      <c r="T181" s="2">
        <f t="shared" si="5"/>
        <v>-0.600800867254472</v>
      </c>
      <c r="U181" s="2">
        <f t="shared" si="5"/>
        <v>-0.7320175364748481</v>
      </c>
      <c r="V181" s="2">
        <f t="shared" si="5"/>
        <v>-0.23826905880522603</v>
      </c>
      <c r="W181" s="2">
        <f t="shared" si="5"/>
        <v>-0.3127397058020164</v>
      </c>
      <c r="X181" s="2">
        <f t="shared" si="5"/>
        <v>-0.1478732917518244</v>
      </c>
      <c r="Y181" s="2">
        <f t="shared" si="5"/>
        <v>-0.9136145927192862</v>
      </c>
      <c r="AA181" s="2">
        <f t="shared" si="7"/>
        <v>0.9082168530893926</v>
      </c>
      <c r="AB181" s="10">
        <f t="shared" si="8"/>
        <v>14</v>
      </c>
    </row>
    <row r="182" spans="1:28" s="6" customFormat="1" ht="12.75">
      <c r="A182" s="8">
        <v>41</v>
      </c>
      <c r="B182" s="5">
        <v>11710</v>
      </c>
      <c r="C182" s="6">
        <v>387</v>
      </c>
      <c r="D182" s="6">
        <v>93.85</v>
      </c>
      <c r="E182" s="6">
        <v>527.6</v>
      </c>
      <c r="F182" s="6">
        <v>122.3</v>
      </c>
      <c r="G182" s="6">
        <v>102.5</v>
      </c>
      <c r="H182" s="6">
        <v>60.28</v>
      </c>
      <c r="I182" s="8">
        <v>31</v>
      </c>
      <c r="J182" s="2">
        <f t="shared" si="6"/>
        <v>0.35394447083207387</v>
      </c>
      <c r="K182" s="2">
        <f t="shared" si="3"/>
        <v>0.8863368669022379</v>
      </c>
      <c r="L182" s="2">
        <f t="shared" si="3"/>
        <v>0.34680356860053846</v>
      </c>
      <c r="M182" s="2">
        <f t="shared" si="3"/>
        <v>0.2802762389011156</v>
      </c>
      <c r="N182" s="2">
        <f t="shared" si="3"/>
        <v>0.6128131710808876</v>
      </c>
      <c r="O182" s="2">
        <f t="shared" si="3"/>
        <v>0.7690246516613076</v>
      </c>
      <c r="P182" s="2">
        <f t="shared" si="3"/>
        <v>0.8616528149312859</v>
      </c>
      <c r="Q182" s="2">
        <f t="shared" si="3"/>
        <v>0.2514775756171051</v>
      </c>
      <c r="R182" s="6">
        <f t="shared" si="4"/>
        <v>-0.451064867643298</v>
      </c>
      <c r="S182" s="6">
        <f t="shared" si="5"/>
        <v>-0.052401185978071724</v>
      </c>
      <c r="T182" s="6">
        <f t="shared" si="5"/>
        <v>-0.4599164422928627</v>
      </c>
      <c r="U182" s="6">
        <f t="shared" si="5"/>
        <v>-0.5524137190486313</v>
      </c>
      <c r="V182" s="6">
        <f t="shared" si="5"/>
        <v>-0.2126719090636396</v>
      </c>
      <c r="W182" s="6">
        <f t="shared" si="5"/>
        <v>-0.11405973834047001</v>
      </c>
      <c r="X182" s="6">
        <f t="shared" si="5"/>
        <v>-0.06466768885325337</v>
      </c>
      <c r="Y182" s="6">
        <f t="shared" si="5"/>
        <v>-0.599500735140637</v>
      </c>
      <c r="AA182" s="2">
        <f t="shared" si="7"/>
        <v>1.0685568950723632</v>
      </c>
      <c r="AB182" s="10">
        <f t="shared" si="8"/>
        <v>21</v>
      </c>
    </row>
    <row r="183" spans="1:28" ht="12.75">
      <c r="A183" s="3">
        <v>48</v>
      </c>
      <c r="B183" s="4">
        <v>17700</v>
      </c>
      <c r="C183" s="2">
        <v>429</v>
      </c>
      <c r="D183" s="2">
        <v>148.6</v>
      </c>
      <c r="E183" s="2">
        <v>951.8</v>
      </c>
      <c r="F183" s="2">
        <v>148.4</v>
      </c>
      <c r="G183" s="2">
        <v>135.9</v>
      </c>
      <c r="H183" s="2">
        <v>87.15</v>
      </c>
      <c r="I183" s="3">
        <v>63.88</v>
      </c>
      <c r="J183" s="2">
        <f t="shared" si="6"/>
        <v>0.5349971933157736</v>
      </c>
      <c r="K183" s="2">
        <f aca="true" t="shared" si="9" ref="K183:K190">IF(C183="","",C183/C$186)</f>
        <v>0.9825284648606203</v>
      </c>
      <c r="L183" s="2">
        <f aca="true" t="shared" si="10" ref="L183:L190">IF(D183="","",D183/D$186)</f>
        <v>0.549121047352584</v>
      </c>
      <c r="M183" s="2">
        <f aca="true" t="shared" si="11" ref="M183:M190">IF(E183="","",E183/E$186)</f>
        <v>0.50562343477271</v>
      </c>
      <c r="N183" s="2">
        <f aca="true" t="shared" si="12" ref="N183:N190">IF(F183="","",F183/F$186)</f>
        <v>0.7435934144595563</v>
      </c>
      <c r="O183" s="2">
        <f aca="true" t="shared" si="13" ref="O183:O190">IF(G183="","",G183/G$186)</f>
        <v>1.0196141479099678</v>
      </c>
      <c r="P183" s="2">
        <f aca="true" t="shared" si="14" ref="P183:P190">IF(H183="","",H183/H$186)</f>
        <v>1.245737273079986</v>
      </c>
      <c r="Q183" s="2">
        <f aca="true" t="shared" si="15" ref="Q183:Q190">IF(I183="","",I183/I$186)</f>
        <v>0.5182060493684089</v>
      </c>
      <c r="R183" s="2">
        <f t="shared" si="4"/>
        <v>-0.2716484963538544</v>
      </c>
      <c r="S183" s="2">
        <f aca="true" t="shared" si="16" ref="S183:Y185">IF(K183="","",LOG(K183))</f>
        <v>-0.007654858812258882</v>
      </c>
      <c r="T183" s="2">
        <f t="shared" si="16"/>
        <v>-0.2603319098256714</v>
      </c>
      <c r="U183" s="2">
        <f t="shared" si="16"/>
        <v>-0.29617280546022035</v>
      </c>
      <c r="V183" s="2">
        <f t="shared" si="16"/>
        <v>-0.12866446515691676</v>
      </c>
      <c r="W183" s="2">
        <f t="shared" si="16"/>
        <v>0.0084358530002512</v>
      </c>
      <c r="X183" s="2">
        <f t="shared" si="16"/>
        <v>0.09542645895016438</v>
      </c>
      <c r="Y183" s="2">
        <f t="shared" si="16"/>
        <v>-0.2854975215084643</v>
      </c>
      <c r="AA183" s="2">
        <f t="shared" si="7"/>
        <v>1.2479732663618066</v>
      </c>
      <c r="AB183" s="10">
        <f t="shared" si="8"/>
        <v>28</v>
      </c>
    </row>
    <row r="184" spans="1:28" ht="12.75">
      <c r="A184" s="3">
        <v>55</v>
      </c>
      <c r="B184" s="4">
        <v>25610</v>
      </c>
      <c r="C184" s="2">
        <v>398.6</v>
      </c>
      <c r="D184" s="2">
        <v>224</v>
      </c>
      <c r="E184" s="2">
        <v>1505</v>
      </c>
      <c r="F184" s="2">
        <v>164.4</v>
      </c>
      <c r="G184" s="2">
        <v>150.5</v>
      </c>
      <c r="H184" s="2">
        <v>88.48</v>
      </c>
      <c r="I184" s="3">
        <v>88.54</v>
      </c>
      <c r="J184" s="2">
        <f t="shared" si="6"/>
        <v>0.7740835096506757</v>
      </c>
      <c r="K184" s="2">
        <f t="shared" si="9"/>
        <v>0.9129040701478864</v>
      </c>
      <c r="L184" s="2">
        <f t="shared" si="10"/>
        <v>0.8277463970859948</v>
      </c>
      <c r="M184" s="2">
        <f t="shared" si="11"/>
        <v>0.7994991272672081</v>
      </c>
      <c r="N184" s="2">
        <f t="shared" si="12"/>
        <v>0.823765211166786</v>
      </c>
      <c r="O184" s="2">
        <f t="shared" si="13"/>
        <v>1.1291532690246517</v>
      </c>
      <c r="P184" s="2">
        <f t="shared" si="14"/>
        <v>1.26474852463703</v>
      </c>
      <c r="Q184" s="2">
        <f t="shared" si="15"/>
        <v>0.7182524046818867</v>
      </c>
      <c r="R184" s="2">
        <f t="shared" si="4"/>
        <v>-0.11121218424723135</v>
      </c>
      <c r="S184" s="2">
        <f t="shared" si="16"/>
        <v>-0.03957485663251429</v>
      </c>
      <c r="T184" s="2">
        <f t="shared" si="16"/>
        <v>-0.08210270091606503</v>
      </c>
      <c r="U184" s="2">
        <f t="shared" si="16"/>
        <v>-0.09718200599309681</v>
      </c>
      <c r="V184" s="2">
        <f t="shared" si="16"/>
        <v>-0.08419655289589345</v>
      </c>
      <c r="W184" s="2">
        <f t="shared" si="16"/>
        <v>0.05275289619761908</v>
      </c>
      <c r="X184" s="2">
        <f t="shared" si="16"/>
        <v>0.10200418146477545</v>
      </c>
      <c r="Y184" s="2">
        <f t="shared" si="16"/>
        <v>-0.14372291133208048</v>
      </c>
      <c r="AA184" s="2">
        <f t="shared" si="7"/>
        <v>1.4084095784684296</v>
      </c>
      <c r="AB184" s="10">
        <f t="shared" si="8"/>
        <v>35</v>
      </c>
    </row>
    <row r="185" spans="1:28" ht="12.75">
      <c r="A185" s="3">
        <v>62</v>
      </c>
      <c r="B185" s="4">
        <v>29690</v>
      </c>
      <c r="C185" s="2">
        <v>442.2</v>
      </c>
      <c r="D185" s="2">
        <v>284.2</v>
      </c>
      <c r="E185" s="2">
        <v>1906</v>
      </c>
      <c r="F185" s="2">
        <v>190.7</v>
      </c>
      <c r="G185" s="2">
        <v>140.1</v>
      </c>
      <c r="H185" s="2">
        <v>82.22</v>
      </c>
      <c r="I185" s="3">
        <v>122.5</v>
      </c>
      <c r="J185" s="2">
        <f t="shared" si="6"/>
        <v>0.8974048965844811</v>
      </c>
      <c r="K185" s="2">
        <f t="shared" si="9"/>
        <v>1.0127601099332548</v>
      </c>
      <c r="L185" s="2">
        <f t="shared" si="10"/>
        <v>1.050203241302856</v>
      </c>
      <c r="M185" s="2">
        <f t="shared" si="11"/>
        <v>1.0125218183197997</v>
      </c>
      <c r="N185" s="2">
        <f t="shared" si="12"/>
        <v>0.9555476020042949</v>
      </c>
      <c r="O185" s="2">
        <f t="shared" si="13"/>
        <v>1.0511254019292604</v>
      </c>
      <c r="P185" s="2">
        <f t="shared" si="14"/>
        <v>1.175266994751996</v>
      </c>
      <c r="Q185" s="2">
        <f t="shared" si="15"/>
        <v>0.993742032680496</v>
      </c>
      <c r="R185" s="2">
        <f t="shared" si="4"/>
        <v>-0.047011565119616454</v>
      </c>
      <c r="S185" s="2">
        <f t="shared" si="16"/>
        <v>0.0055065872457120075</v>
      </c>
      <c r="T185" s="2">
        <f t="shared" si="16"/>
        <v>0.021273354341223086</v>
      </c>
      <c r="U185" s="2">
        <f t="shared" si="16"/>
        <v>0.005404390379348619</v>
      </c>
      <c r="V185" s="2">
        <f t="shared" si="16"/>
        <v>-0.019747673053919463</v>
      </c>
      <c r="W185" s="2">
        <f t="shared" si="16"/>
        <v>0.02165453155353147</v>
      </c>
      <c r="X185" s="2">
        <f t="shared" si="16"/>
        <v>0.07013653994848337</v>
      </c>
      <c r="Y185" s="2">
        <f t="shared" si="16"/>
        <v>-0.0027263402743583597</v>
      </c>
      <c r="AA185" s="2">
        <f t="shared" si="7"/>
        <v>1.4726101975960446</v>
      </c>
      <c r="AB185" s="10">
        <f t="shared" si="8"/>
        <v>42</v>
      </c>
    </row>
    <row r="186" spans="1:28" ht="12.75">
      <c r="A186" s="3">
        <v>65</v>
      </c>
      <c r="B186" s="4">
        <f>B185+(3/7)*(B187-B185)</f>
        <v>33084.28571428572</v>
      </c>
      <c r="C186" s="4">
        <f aca="true" t="shared" si="17" ref="C186:I186">C185+(3/7)*(C187-C185)</f>
        <v>436.62857142857143</v>
      </c>
      <c r="D186" s="4">
        <f t="shared" si="17"/>
        <v>270.6142857142857</v>
      </c>
      <c r="E186" s="4">
        <f t="shared" si="17"/>
        <v>1882.4285714285713</v>
      </c>
      <c r="F186" s="4">
        <f t="shared" si="17"/>
        <v>199.57142857142856</v>
      </c>
      <c r="G186" s="4">
        <f t="shared" si="17"/>
        <v>133.28571428571428</v>
      </c>
      <c r="H186" s="4">
        <f t="shared" si="17"/>
        <v>69.95857142857143</v>
      </c>
      <c r="I186" s="4">
        <f t="shared" si="17"/>
        <v>123.27142857142857</v>
      </c>
      <c r="J186" s="2">
        <f t="shared" si="6"/>
        <v>1</v>
      </c>
      <c r="K186" s="2">
        <f t="shared" si="9"/>
        <v>1</v>
      </c>
      <c r="L186" s="2">
        <f t="shared" si="10"/>
        <v>1</v>
      </c>
      <c r="M186" s="2">
        <f t="shared" si="11"/>
        <v>1</v>
      </c>
      <c r="N186" s="2">
        <f t="shared" si="12"/>
        <v>1</v>
      </c>
      <c r="O186" s="2">
        <f t="shared" si="13"/>
        <v>1</v>
      </c>
      <c r="P186" s="2">
        <f t="shared" si="14"/>
        <v>1</v>
      </c>
      <c r="Q186" s="2">
        <f t="shared" si="15"/>
        <v>1</v>
      </c>
      <c r="AB186" s="10">
        <f t="shared" si="8"/>
        <v>45</v>
      </c>
    </row>
    <row r="187" spans="1:28" ht="12.75">
      <c r="A187" s="3">
        <v>69</v>
      </c>
      <c r="B187" s="4">
        <v>37610</v>
      </c>
      <c r="C187" s="2">
        <v>429.2</v>
      </c>
      <c r="D187" s="2">
        <v>252.5</v>
      </c>
      <c r="E187" s="2">
        <v>1851</v>
      </c>
      <c r="F187" s="2">
        <v>211.4</v>
      </c>
      <c r="G187" s="2">
        <v>124.2</v>
      </c>
      <c r="H187" s="2">
        <v>53.61</v>
      </c>
      <c r="I187" s="3">
        <v>124.3</v>
      </c>
      <c r="J187" s="2">
        <f t="shared" si="6"/>
        <v>1.1367934712206917</v>
      </c>
      <c r="K187" s="2">
        <f t="shared" si="9"/>
        <v>0.9829865200889936</v>
      </c>
      <c r="L187" s="2">
        <f t="shared" si="10"/>
        <v>0.9330623449295254</v>
      </c>
      <c r="M187" s="2">
        <f t="shared" si="11"/>
        <v>0.9833042422402671</v>
      </c>
      <c r="N187" s="2">
        <f t="shared" si="12"/>
        <v>1.0592698639942735</v>
      </c>
      <c r="O187" s="2">
        <f t="shared" si="13"/>
        <v>0.9318327974276528</v>
      </c>
      <c r="P187" s="2">
        <f t="shared" si="14"/>
        <v>0.7663106736640052</v>
      </c>
      <c r="Q187" s="2">
        <f t="shared" si="15"/>
        <v>1.0083439564260053</v>
      </c>
      <c r="R187" s="2">
        <f aca="true" t="shared" si="18" ref="R187:Y190">IF(J187="","",LOG(J187))</f>
        <v>0.05568157070673808</v>
      </c>
      <c r="S187" s="2">
        <f t="shared" si="18"/>
        <v>-0.0074524377030696426</v>
      </c>
      <c r="T187" s="2">
        <f t="shared" si="18"/>
        <v>-0.030089336795547653</v>
      </c>
      <c r="U187" s="2">
        <f t="shared" si="18"/>
        <v>-0.007312087170054887</v>
      </c>
      <c r="V187" s="2">
        <f t="shared" si="18"/>
        <v>0.025006616871482402</v>
      </c>
      <c r="W187" s="2">
        <f t="shared" si="18"/>
        <v>-0.0306620078916817</v>
      </c>
      <c r="X187" s="2">
        <f t="shared" si="18"/>
        <v>-0.11559512527054092</v>
      </c>
      <c r="Y187" s="2">
        <f t="shared" si="18"/>
        <v>0.003608699666735113</v>
      </c>
      <c r="AA187" s="2">
        <f t="shared" si="7"/>
        <v>1.5753033334223991</v>
      </c>
      <c r="AB187" s="10">
        <f t="shared" si="8"/>
        <v>49</v>
      </c>
    </row>
    <row r="188" spans="1:28" ht="12.75">
      <c r="A188" s="3">
        <v>76</v>
      </c>
      <c r="B188" s="4">
        <v>38160</v>
      </c>
      <c r="C188" s="2">
        <v>455.5</v>
      </c>
      <c r="D188" s="2">
        <v>279.7</v>
      </c>
      <c r="E188" s="2">
        <v>1877</v>
      </c>
      <c r="F188" s="2">
        <v>214.4</v>
      </c>
      <c r="G188" s="2">
        <v>120.8</v>
      </c>
      <c r="H188" s="2">
        <v>54.35</v>
      </c>
      <c r="I188" s="3">
        <v>144</v>
      </c>
      <c r="J188" s="2">
        <f t="shared" si="6"/>
        <v>1.1534176777926506</v>
      </c>
      <c r="K188" s="2">
        <f t="shared" si="9"/>
        <v>1.043220782620076</v>
      </c>
      <c r="L188" s="2">
        <f t="shared" si="10"/>
        <v>1.0335744074328248</v>
      </c>
      <c r="M188" s="2">
        <f t="shared" si="11"/>
        <v>0.9971161872960462</v>
      </c>
      <c r="N188" s="2">
        <f t="shared" si="12"/>
        <v>1.074302075876879</v>
      </c>
      <c r="O188" s="2">
        <f t="shared" si="13"/>
        <v>0.9063236870310826</v>
      </c>
      <c r="P188" s="2">
        <f t="shared" si="14"/>
        <v>0.7768883625002553</v>
      </c>
      <c r="Q188" s="2">
        <f t="shared" si="15"/>
        <v>1.1681538996407463</v>
      </c>
      <c r="R188" s="2">
        <f t="shared" si="18"/>
        <v>0.06198660331639638</v>
      </c>
      <c r="S188" s="2">
        <f t="shared" si="18"/>
        <v>0.01837623031203394</v>
      </c>
      <c r="T188" s="2">
        <f t="shared" si="18"/>
        <v>0.014341747121299394</v>
      </c>
      <c r="U188" s="2">
        <f t="shared" si="18"/>
        <v>-0.0012542333016126535</v>
      </c>
      <c r="V188" s="2">
        <f t="shared" si="18"/>
        <v>0.031126414920807362</v>
      </c>
      <c r="W188" s="2">
        <f t="shared" si="18"/>
        <v>-0.04271666944713007</v>
      </c>
      <c r="X188" s="2">
        <f t="shared" si="18"/>
        <v>-0.10964138407353421</v>
      </c>
      <c r="Y188" s="2">
        <f t="shared" si="18"/>
        <v>0.06750006312034004</v>
      </c>
      <c r="AA188" s="2">
        <f t="shared" si="7"/>
        <v>1.5816083660320575</v>
      </c>
      <c r="AB188" s="10">
        <f t="shared" si="8"/>
        <v>56</v>
      </c>
    </row>
    <row r="189" spans="1:28" ht="12.75">
      <c r="A189" s="3">
        <v>83</v>
      </c>
      <c r="B189" s="4">
        <v>38740</v>
      </c>
      <c r="C189" s="2">
        <v>423</v>
      </c>
      <c r="D189" s="2">
        <v>283.9</v>
      </c>
      <c r="E189" s="2">
        <v>1669</v>
      </c>
      <c r="F189" s="2">
        <v>182.4</v>
      </c>
      <c r="G189" s="2">
        <v>128.2</v>
      </c>
      <c r="H189" s="2">
        <v>63.02</v>
      </c>
      <c r="I189" s="3">
        <v>128</v>
      </c>
      <c r="J189" s="2">
        <f t="shared" si="6"/>
        <v>1.1709486592685348</v>
      </c>
      <c r="K189" s="2">
        <f t="shared" si="9"/>
        <v>0.9687868080094229</v>
      </c>
      <c r="L189" s="2">
        <f t="shared" si="10"/>
        <v>1.0490946523781872</v>
      </c>
      <c r="M189" s="2">
        <f t="shared" si="11"/>
        <v>0.8866206268498141</v>
      </c>
      <c r="N189" s="2">
        <f t="shared" si="12"/>
        <v>0.9139584824624196</v>
      </c>
      <c r="O189" s="2">
        <f t="shared" si="13"/>
        <v>0.9618435155412647</v>
      </c>
      <c r="P189" s="2">
        <f t="shared" si="14"/>
        <v>0.900818851973617</v>
      </c>
      <c r="Q189" s="2">
        <f t="shared" si="15"/>
        <v>1.0383590219028855</v>
      </c>
      <c r="R189" s="2">
        <f t="shared" si="18"/>
        <v>0.06853785366743091</v>
      </c>
      <c r="S189" s="2">
        <f t="shared" si="18"/>
        <v>-0.013771783621940767</v>
      </c>
      <c r="T189" s="2">
        <f t="shared" si="18"/>
        <v>0.02081467327562937</v>
      </c>
      <c r="U189" s="2">
        <f t="shared" si="18"/>
        <v>-0.05226216924371227</v>
      </c>
      <c r="V189" s="2">
        <f t="shared" si="18"/>
        <v>-0.03907353210752763</v>
      </c>
      <c r="W189" s="2">
        <f t="shared" si="18"/>
        <v>-0.01689557854944452</v>
      </c>
      <c r="X189" s="2">
        <f t="shared" si="18"/>
        <v>-0.045362533657866744</v>
      </c>
      <c r="Y189" s="2">
        <f t="shared" si="18"/>
        <v>0.016347540672958707</v>
      </c>
      <c r="AA189" s="2">
        <f t="shared" si="7"/>
        <v>1.588159616383092</v>
      </c>
      <c r="AB189" s="10">
        <f t="shared" si="8"/>
        <v>63</v>
      </c>
    </row>
    <row r="190" spans="1:28" ht="12.75">
      <c r="A190" s="3">
        <v>90</v>
      </c>
      <c r="B190" s="4">
        <v>39300</v>
      </c>
      <c r="C190" s="2">
        <v>448.9</v>
      </c>
      <c r="D190" s="2">
        <v>288.3</v>
      </c>
      <c r="E190" s="2">
        <v>1621</v>
      </c>
      <c r="F190" s="2">
        <v>193.4</v>
      </c>
      <c r="G190" s="2">
        <v>130</v>
      </c>
      <c r="H190" s="2">
        <v>51.24</v>
      </c>
      <c r="I190" s="3">
        <v>129.7</v>
      </c>
      <c r="J190" s="2">
        <f t="shared" si="6"/>
        <v>1.1878751241418022</v>
      </c>
      <c r="K190" s="2">
        <f t="shared" si="9"/>
        <v>1.0281049600837586</v>
      </c>
      <c r="L190" s="2">
        <f t="shared" si="10"/>
        <v>1.065353956606662</v>
      </c>
      <c r="M190" s="2">
        <f t="shared" si="11"/>
        <v>0.8611216513622221</v>
      </c>
      <c r="N190" s="2">
        <f t="shared" si="12"/>
        <v>0.9690765926986401</v>
      </c>
      <c r="O190" s="2">
        <f t="shared" si="13"/>
        <v>0.9753483386923902</v>
      </c>
      <c r="P190" s="2">
        <f t="shared" si="14"/>
        <v>0.7324334810397991</v>
      </c>
      <c r="Q190" s="2">
        <f t="shared" si="15"/>
        <v>1.0521497276625331</v>
      </c>
      <c r="R190" s="2">
        <f t="shared" si="18"/>
        <v>0.07477078765976561</v>
      </c>
      <c r="S190" s="2">
        <f t="shared" si="18"/>
        <v>0.012037454404669742</v>
      </c>
      <c r="T190" s="2">
        <f t="shared" si="18"/>
        <v>0.02749392313797995</v>
      </c>
      <c r="U190" s="2">
        <f t="shared" si="18"/>
        <v>-0.06493549107444405</v>
      </c>
      <c r="V190" s="2">
        <f t="shared" si="18"/>
        <v>-0.013641896352942133</v>
      </c>
      <c r="W190" s="2">
        <f t="shared" si="18"/>
        <v>-0.010840251425406299</v>
      </c>
      <c r="X190" s="2">
        <f t="shared" si="18"/>
        <v>-0.13523181142319884</v>
      </c>
      <c r="Y190" s="2">
        <f t="shared" si="18"/>
        <v>0.022077547109170374</v>
      </c>
      <c r="AA190" s="2">
        <f t="shared" si="7"/>
        <v>1.5943925503754266</v>
      </c>
      <c r="AB190" s="10">
        <f t="shared" si="8"/>
        <v>70</v>
      </c>
    </row>
    <row r="191" spans="1:9" ht="12.75">
      <c r="A191" s="3"/>
      <c r="B191" s="4"/>
      <c r="I191" s="3"/>
    </row>
    <row r="192" spans="1:9" ht="12.75">
      <c r="A192" s="2" t="s">
        <v>109</v>
      </c>
      <c r="E192" s="2" t="s">
        <v>110</v>
      </c>
      <c r="H192" s="6"/>
      <c r="I192" s="6"/>
    </row>
    <row r="193" spans="2:9" ht="12.75">
      <c r="B193" s="9" t="s">
        <v>107</v>
      </c>
      <c r="C193" s="9" t="s">
        <v>108</v>
      </c>
      <c r="D193" s="9"/>
      <c r="E193" s="9" t="s">
        <v>107</v>
      </c>
      <c r="F193" s="9" t="s">
        <v>108</v>
      </c>
      <c r="H193" s="6"/>
      <c r="I193" s="6"/>
    </row>
    <row r="194" spans="1:9" ht="12.75">
      <c r="A194" s="2" t="s">
        <v>105</v>
      </c>
      <c r="B194" s="10">
        <f>B175</f>
        <v>1598</v>
      </c>
      <c r="C194" s="9">
        <f>B194/1000</f>
        <v>1.598</v>
      </c>
      <c r="D194" s="9"/>
      <c r="E194" s="9">
        <f>B209</f>
        <v>1696</v>
      </c>
      <c r="F194" s="9">
        <f>E194/1000</f>
        <v>1.696</v>
      </c>
      <c r="H194" s="6"/>
      <c r="I194" s="6"/>
    </row>
    <row r="195" spans="1:9" ht="12.75">
      <c r="A195" s="2" t="s">
        <v>106</v>
      </c>
      <c r="B195" s="10">
        <f>B181</f>
        <v>8095</v>
      </c>
      <c r="C195" s="9">
        <f>B195/1000</f>
        <v>8.095</v>
      </c>
      <c r="D195" s="9"/>
      <c r="E195" s="9">
        <f>B214</f>
        <v>7443</v>
      </c>
      <c r="F195" s="9">
        <f>E195/1000</f>
        <v>7.443</v>
      </c>
      <c r="H195" s="6"/>
      <c r="I195" s="6"/>
    </row>
    <row r="197" spans="10:18" ht="12.75">
      <c r="J197" s="2" t="s">
        <v>96</v>
      </c>
      <c r="R197" s="2" t="s">
        <v>96</v>
      </c>
    </row>
    <row r="198" spans="1:18" ht="12.75">
      <c r="A198" s="2" t="s">
        <v>96</v>
      </c>
      <c r="J198" s="2" t="s">
        <v>37</v>
      </c>
      <c r="R198" s="2" t="s">
        <v>112</v>
      </c>
    </row>
    <row r="199" spans="1:28" ht="12.75">
      <c r="A199" s="2" t="s">
        <v>95</v>
      </c>
      <c r="B199" s="2" t="s">
        <v>97</v>
      </c>
      <c r="C199" s="2" t="s">
        <v>90</v>
      </c>
      <c r="D199" s="2" t="s">
        <v>87</v>
      </c>
      <c r="E199" s="2" t="s">
        <v>88</v>
      </c>
      <c r="F199" s="2" t="s">
        <v>89</v>
      </c>
      <c r="G199" s="2" t="s">
        <v>91</v>
      </c>
      <c r="H199" s="2" t="s">
        <v>92</v>
      </c>
      <c r="I199" s="2" t="s">
        <v>93</v>
      </c>
      <c r="J199" s="2" t="s">
        <v>97</v>
      </c>
      <c r="K199" s="2" t="s">
        <v>90</v>
      </c>
      <c r="L199" s="2" t="s">
        <v>87</v>
      </c>
      <c r="M199" s="2" t="s">
        <v>88</v>
      </c>
      <c r="N199" s="2" t="s">
        <v>89</v>
      </c>
      <c r="O199" s="2" t="s">
        <v>91</v>
      </c>
      <c r="P199" s="2" t="s">
        <v>92</v>
      </c>
      <c r="Q199" s="2" t="s">
        <v>93</v>
      </c>
      <c r="R199" s="2" t="s">
        <v>97</v>
      </c>
      <c r="S199" s="2" t="s">
        <v>90</v>
      </c>
      <c r="T199" s="2" t="s">
        <v>87</v>
      </c>
      <c r="U199" s="2" t="s">
        <v>88</v>
      </c>
      <c r="V199" s="2" t="s">
        <v>89</v>
      </c>
      <c r="W199" s="2" t="s">
        <v>91</v>
      </c>
      <c r="X199" s="2" t="s">
        <v>92</v>
      </c>
      <c r="Y199" s="2" t="s">
        <v>93</v>
      </c>
      <c r="AA199" s="2" t="s">
        <v>43</v>
      </c>
      <c r="AB199" s="2" t="s">
        <v>44</v>
      </c>
    </row>
    <row r="200" spans="1:28" ht="12.75">
      <c r="A200" s="2">
        <v>11</v>
      </c>
      <c r="B200" s="2">
        <v>12</v>
      </c>
      <c r="J200" s="2">
        <f>IF(B200="","",B200/B$217)</f>
        <v>0.0006528328281650734</v>
      </c>
      <c r="K200" s="2">
        <f aca="true" t="shared" si="19" ref="K200:Q215">IF(C200="","",C200/C$217)</f>
      </c>
      <c r="L200" s="2">
        <f t="shared" si="19"/>
      </c>
      <c r="M200" s="2">
        <f t="shared" si="19"/>
      </c>
      <c r="N200" s="2">
        <f t="shared" si="19"/>
      </c>
      <c r="O200" s="2">
        <f t="shared" si="19"/>
      </c>
      <c r="P200" s="2">
        <f t="shared" si="19"/>
      </c>
      <c r="Q200" s="2">
        <f t="shared" si="19"/>
      </c>
      <c r="R200" s="2">
        <f>IF(J200="","",LOG(J200))</f>
        <v>-3.185198014896854</v>
      </c>
      <c r="S200" s="2">
        <f aca="true" t="shared" si="20" ref="S200:Y223">IF(K200="","",LOG(K200))</f>
      </c>
      <c r="T200" s="2">
        <f t="shared" si="20"/>
      </c>
      <c r="U200" s="2">
        <f t="shared" si="20"/>
      </c>
      <c r="V200" s="2">
        <f t="shared" si="20"/>
      </c>
      <c r="W200" s="2">
        <f t="shared" si="20"/>
      </c>
      <c r="X200" s="2">
        <f t="shared" si="20"/>
      </c>
      <c r="Y200" s="2">
        <f t="shared" si="20"/>
      </c>
      <c r="AA200" s="2">
        <f>LOG(B200/1000)</f>
        <v>-1.9208187539523751</v>
      </c>
      <c r="AB200" s="10">
        <f>A200-20</f>
        <v>-9</v>
      </c>
    </row>
    <row r="201" spans="1:28" s="6" customFormat="1" ht="12.75">
      <c r="A201" s="6">
        <v>12</v>
      </c>
      <c r="B201" s="6">
        <v>32.72</v>
      </c>
      <c r="J201" s="2">
        <f aca="true" t="shared" si="21" ref="J201:J223">IF(B201="","",B201/B$217)</f>
        <v>0.0017800575114634335</v>
      </c>
      <c r="K201" s="2">
        <f t="shared" si="19"/>
      </c>
      <c r="L201" s="2">
        <f t="shared" si="19"/>
      </c>
      <c r="M201" s="2">
        <f t="shared" si="19"/>
      </c>
      <c r="N201" s="2">
        <f t="shared" si="19"/>
      </c>
      <c r="O201" s="2">
        <f t="shared" si="19"/>
      </c>
      <c r="P201" s="2">
        <f t="shared" si="19"/>
      </c>
      <c r="Q201" s="2">
        <f t="shared" si="19"/>
      </c>
      <c r="R201" s="6">
        <f aca="true" t="shared" si="22" ref="R201:R223">IF(J201="","",LOG(J201))</f>
        <v>-2.7495659659451936</v>
      </c>
      <c r="S201" s="6">
        <f t="shared" si="20"/>
      </c>
      <c r="T201" s="6">
        <f t="shared" si="20"/>
      </c>
      <c r="U201" s="6">
        <f t="shared" si="20"/>
      </c>
      <c r="V201" s="6">
        <f t="shared" si="20"/>
      </c>
      <c r="W201" s="6">
        <f t="shared" si="20"/>
      </c>
      <c r="X201" s="6">
        <f t="shared" si="20"/>
      </c>
      <c r="Y201" s="6">
        <f t="shared" si="20"/>
      </c>
      <c r="AA201" s="2">
        <f>LOG(B201/1000)</f>
        <v>-1.4851867050007146</v>
      </c>
      <c r="AB201" s="10">
        <f aca="true" t="shared" si="23" ref="AB201:AB223">A201-20</f>
        <v>-8</v>
      </c>
    </row>
    <row r="202" spans="1:28" ht="12.75">
      <c r="A202" s="3">
        <f>A168</f>
        <v>13</v>
      </c>
      <c r="B202" s="2">
        <v>67.04</v>
      </c>
      <c r="C202" s="2">
        <v>6.634</v>
      </c>
      <c r="E202" s="2">
        <v>4.53</v>
      </c>
      <c r="F202" s="2">
        <v>0.3536</v>
      </c>
      <c r="J202" s="2">
        <f t="shared" si="21"/>
        <v>0.0036471594000155438</v>
      </c>
      <c r="K202" s="2">
        <f t="shared" si="19"/>
        <v>0.014749245672542481</v>
      </c>
      <c r="L202" s="2">
        <f t="shared" si="19"/>
      </c>
      <c r="M202" s="2">
        <f t="shared" si="19"/>
        <v>0.004777041277493221</v>
      </c>
      <c r="N202" s="2">
        <f t="shared" si="19"/>
        <v>0.0022003733665214684</v>
      </c>
      <c r="O202" s="2">
        <f t="shared" si="19"/>
      </c>
      <c r="P202" s="2">
        <f t="shared" si="19"/>
      </c>
      <c r="Q202" s="2">
        <f t="shared" si="19"/>
      </c>
      <c r="R202" s="2">
        <f t="shared" si="22"/>
        <v>-2.4380452553222587</v>
      </c>
      <c r="S202" s="2">
        <f t="shared" si="20"/>
        <v>-1.8312301904403614</v>
      </c>
      <c r="T202" s="2">
        <f t="shared" si="20"/>
      </c>
      <c r="U202" s="2">
        <f t="shared" si="20"/>
        <v>-2.3208410060454963</v>
      </c>
      <c r="V202" s="2">
        <f t="shared" si="20"/>
        <v>-2.6575036204223093</v>
      </c>
      <c r="W202" s="2">
        <f t="shared" si="20"/>
      </c>
      <c r="X202" s="2">
        <f t="shared" si="20"/>
      </c>
      <c r="Y202" s="2">
        <f t="shared" si="20"/>
      </c>
      <c r="AA202" s="2">
        <f>LOG(B202/1000)</f>
        <v>-1.1736659943777799</v>
      </c>
      <c r="AB202" s="10">
        <f t="shared" si="23"/>
        <v>-7</v>
      </c>
    </row>
    <row r="203" spans="1:28" ht="12.75">
      <c r="A203" s="3">
        <f aca="true" t="shared" si="24" ref="A203:A209">A169</f>
        <v>14</v>
      </c>
      <c r="B203" s="2">
        <v>200.8</v>
      </c>
      <c r="C203" s="2">
        <v>16.84</v>
      </c>
      <c r="D203" s="2">
        <v>0.2662</v>
      </c>
      <c r="E203" s="2">
        <v>20.37</v>
      </c>
      <c r="F203" s="2">
        <v>2.687</v>
      </c>
      <c r="J203" s="2">
        <f t="shared" si="21"/>
        <v>0.010924069324628896</v>
      </c>
      <c r="K203" s="2">
        <f t="shared" si="19"/>
        <v>0.03744005081784977</v>
      </c>
      <c r="L203" s="2">
        <f t="shared" si="19"/>
        <v>0.0021014999436111425</v>
      </c>
      <c r="M203" s="2">
        <f t="shared" si="19"/>
        <v>0.02148086773124435</v>
      </c>
      <c r="N203" s="2">
        <f t="shared" si="19"/>
        <v>0.016720597386434347</v>
      </c>
      <c r="O203" s="2">
        <f t="shared" si="19"/>
      </c>
      <c r="P203" s="2">
        <f t="shared" si="19"/>
      </c>
      <c r="Q203" s="2">
        <f t="shared" si="19"/>
      </c>
      <c r="R203" s="2">
        <f t="shared" si="22"/>
        <v>-1.961615552471497</v>
      </c>
      <c r="S203" s="2">
        <f t="shared" si="20"/>
        <v>-1.4266635704601942</v>
      </c>
      <c r="T203" s="2">
        <f t="shared" si="20"/>
        <v>-2.6774706173118252</v>
      </c>
      <c r="U203" s="2">
        <f t="shared" si="20"/>
        <v>-1.6679481790581643</v>
      </c>
      <c r="V203" s="2">
        <f t="shared" si="20"/>
        <v>-1.7767482103301762</v>
      </c>
      <c r="W203" s="2">
        <f t="shared" si="20"/>
      </c>
      <c r="X203" s="2">
        <f t="shared" si="20"/>
      </c>
      <c r="Y203" s="2">
        <f t="shared" si="20"/>
      </c>
      <c r="AA203" s="2">
        <f>LOG(B203/1000)</f>
        <v>-0.6972362915270183</v>
      </c>
      <c r="AB203" s="10">
        <f t="shared" si="23"/>
        <v>-6</v>
      </c>
    </row>
    <row r="204" spans="1:28" ht="12.75">
      <c r="A204" s="3">
        <f t="shared" si="24"/>
        <v>15</v>
      </c>
      <c r="B204" s="2">
        <v>463.2</v>
      </c>
      <c r="C204" s="2">
        <v>36.16</v>
      </c>
      <c r="D204" s="2">
        <v>0.969575</v>
      </c>
      <c r="F204" s="2">
        <v>9.745</v>
      </c>
      <c r="G204" s="2">
        <v>0.3903</v>
      </c>
      <c r="J204" s="2">
        <f t="shared" si="21"/>
        <v>0.025199347167171832</v>
      </c>
      <c r="K204" s="2">
        <f t="shared" si="19"/>
        <v>0.08039383833571541</v>
      </c>
      <c r="L204" s="2">
        <f t="shared" si="19"/>
        <v>0.007654251719860156</v>
      </c>
      <c r="M204" s="2">
        <f t="shared" si="19"/>
      </c>
      <c r="N204" s="2">
        <f t="shared" si="19"/>
        <v>0.060640945861854374</v>
      </c>
      <c r="O204" s="2">
        <f t="shared" si="19"/>
        <v>0.003462079452575556</v>
      </c>
      <c r="P204" s="2">
        <f t="shared" si="19"/>
      </c>
      <c r="Q204" s="2">
        <f t="shared" si="19"/>
      </c>
      <c r="R204" s="2">
        <f t="shared" si="22"/>
        <v>-1.598610710225099</v>
      </c>
      <c r="S204" s="2">
        <f t="shared" si="20"/>
        <v>-1.0947772358204992</v>
      </c>
      <c r="T204" s="2">
        <f t="shared" si="20"/>
        <v>-2.116097259547023</v>
      </c>
      <c r="U204" s="2">
        <f t="shared" si="20"/>
      </c>
      <c r="V204" s="2">
        <f t="shared" si="20"/>
        <v>-1.2172340333097045</v>
      </c>
      <c r="W204" s="2">
        <f t="shared" si="20"/>
        <v>-2.460662969557335</v>
      </c>
      <c r="X204" s="2">
        <f t="shared" si="20"/>
      </c>
      <c r="Y204" s="2">
        <f t="shared" si="20"/>
      </c>
      <c r="AA204" s="2">
        <f>LOG(B204/1000)</f>
        <v>-0.3342314492806202</v>
      </c>
      <c r="AB204" s="10">
        <f t="shared" si="23"/>
        <v>-5</v>
      </c>
    </row>
    <row r="205" spans="1:28" ht="12.75">
      <c r="A205" s="3">
        <f t="shared" si="24"/>
        <v>16</v>
      </c>
      <c r="B205" s="2">
        <v>561.7</v>
      </c>
      <c r="C205" s="2">
        <v>45.99</v>
      </c>
      <c r="D205" s="2">
        <v>2.338</v>
      </c>
      <c r="E205" s="2">
        <v>64.19</v>
      </c>
      <c r="F205" s="2">
        <v>26.6</v>
      </c>
      <c r="G205" s="2">
        <v>0.9681</v>
      </c>
      <c r="J205" s="2">
        <f t="shared" si="21"/>
        <v>0.03055801663169348</v>
      </c>
      <c r="K205" s="2">
        <f t="shared" si="19"/>
        <v>0.10224868985231063</v>
      </c>
      <c r="L205" s="2">
        <f t="shared" si="19"/>
        <v>0.018457200857110636</v>
      </c>
      <c r="M205" s="2">
        <f t="shared" si="19"/>
        <v>0.0676905694486291</v>
      </c>
      <c r="N205" s="2">
        <f t="shared" si="19"/>
        <v>0.1655258245177349</v>
      </c>
      <c r="O205" s="2">
        <f t="shared" si="19"/>
        <v>0.00858734080973199</v>
      </c>
      <c r="P205" s="2">
        <f t="shared" si="19"/>
      </c>
      <c r="Q205" s="2">
        <f t="shared" si="19"/>
      </c>
      <c r="R205" s="2">
        <f t="shared" si="22"/>
        <v>-1.5148748370683365</v>
      </c>
      <c r="S205" s="2">
        <f t="shared" si="20"/>
        <v>-0.9903422480497872</v>
      </c>
      <c r="T205" s="2">
        <f t="shared" si="20"/>
        <v>-1.7338341616246602</v>
      </c>
      <c r="U205" s="2">
        <f t="shared" si="20"/>
        <v>-1.1694718323740505</v>
      </c>
      <c r="V205" s="2">
        <f t="shared" si="20"/>
        <v>-0.7811342401322776</v>
      </c>
      <c r="W205" s="2">
        <f t="shared" si="20"/>
        <v>-2.066141300715016</v>
      </c>
      <c r="X205" s="2">
        <f t="shared" si="20"/>
      </c>
      <c r="Y205" s="2">
        <f t="shared" si="20"/>
      </c>
      <c r="AA205" s="2">
        <f>LOG(B205/1000)</f>
        <v>-0.25049557612385764</v>
      </c>
      <c r="AB205" s="10">
        <f t="shared" si="23"/>
        <v>-4</v>
      </c>
    </row>
    <row r="206" spans="1:28" ht="12.75">
      <c r="A206" s="3">
        <f t="shared" si="24"/>
        <v>17</v>
      </c>
      <c r="B206" s="2">
        <v>1122</v>
      </c>
      <c r="C206" s="2">
        <v>57.09</v>
      </c>
      <c r="J206" s="2">
        <f t="shared" si="21"/>
        <v>0.06103986943343436</v>
      </c>
      <c r="K206" s="2">
        <f t="shared" si="19"/>
        <v>0.12692710814673655</v>
      </c>
      <c r="L206" s="2">
        <f t="shared" si="19"/>
      </c>
      <c r="M206" s="2">
        <f t="shared" si="19"/>
      </c>
      <c r="N206" s="2">
        <f t="shared" si="19"/>
      </c>
      <c r="O206" s="2">
        <f t="shared" si="19"/>
      </c>
      <c r="P206" s="2">
        <f t="shared" si="19"/>
      </c>
      <c r="Q206" s="2">
        <f t="shared" si="19"/>
      </c>
      <c r="R206" s="2">
        <f t="shared" si="22"/>
        <v>-1.2143864040243362</v>
      </c>
      <c r="S206" s="2">
        <f t="shared" si="20"/>
        <v>-0.8964456146171419</v>
      </c>
      <c r="T206" s="2">
        <f t="shared" si="20"/>
      </c>
      <c r="U206" s="2">
        <f t="shared" si="20"/>
      </c>
      <c r="V206" s="2">
        <f t="shared" si="20"/>
      </c>
      <c r="W206" s="2">
        <f t="shared" si="20"/>
      </c>
      <c r="X206" s="2">
        <f t="shared" si="20"/>
      </c>
      <c r="Y206" s="2">
        <f t="shared" si="20"/>
      </c>
      <c r="AA206" s="2">
        <f>LOG(B206/1000)</f>
        <v>0.049992856920142645</v>
      </c>
      <c r="AB206" s="10">
        <f t="shared" si="23"/>
        <v>-3</v>
      </c>
    </row>
    <row r="207" spans="1:28" ht="12.75">
      <c r="A207" s="3">
        <f t="shared" si="24"/>
        <v>18</v>
      </c>
      <c r="B207" s="2">
        <v>1536</v>
      </c>
      <c r="C207" s="2">
        <v>76.24</v>
      </c>
      <c r="D207" s="2">
        <v>3.689</v>
      </c>
      <c r="E207" s="2">
        <v>94.41</v>
      </c>
      <c r="F207" s="2">
        <v>32.31</v>
      </c>
      <c r="H207" s="2">
        <v>4.064</v>
      </c>
      <c r="J207" s="2">
        <f t="shared" si="21"/>
        <v>0.0835626020051294</v>
      </c>
      <c r="K207" s="2">
        <f t="shared" si="19"/>
        <v>0.1695029379069398</v>
      </c>
      <c r="L207" s="2">
        <f t="shared" si="19"/>
        <v>0.02912258937633924</v>
      </c>
      <c r="M207" s="2">
        <f t="shared" si="19"/>
        <v>0.09955860198855077</v>
      </c>
      <c r="N207" s="2">
        <f t="shared" si="19"/>
        <v>0.20105787181082763</v>
      </c>
      <c r="O207" s="2">
        <f t="shared" si="19"/>
      </c>
      <c r="P207" s="2">
        <f t="shared" si="19"/>
        <v>0.033272514619883044</v>
      </c>
      <c r="Q207" s="2">
        <f t="shared" si="19"/>
      </c>
      <c r="R207" s="2">
        <f t="shared" si="22"/>
        <v>-1.0779880452489856</v>
      </c>
      <c r="S207" s="2">
        <f t="shared" si="20"/>
        <v>-0.7708227699935549</v>
      </c>
      <c r="T207" s="2">
        <f t="shared" si="20"/>
        <v>-1.535770013223678</v>
      </c>
      <c r="U207" s="2">
        <f t="shared" si="20"/>
        <v>-1.0019212104254456</v>
      </c>
      <c r="V207" s="2">
        <f t="shared" si="20"/>
        <v>-0.6966789187457005</v>
      </c>
      <c r="W207" s="2">
        <f t="shared" si="20"/>
      </c>
      <c r="X207" s="2">
        <f t="shared" si="20"/>
        <v>-1.477914375438053</v>
      </c>
      <c r="Y207" s="2">
        <f t="shared" si="20"/>
      </c>
      <c r="AA207" s="2">
        <f>LOG(B207/1000)</f>
        <v>0.1863912156954932</v>
      </c>
      <c r="AB207" s="10">
        <f t="shared" si="23"/>
        <v>-2</v>
      </c>
    </row>
    <row r="208" spans="1:28" ht="12.75">
      <c r="A208" s="3">
        <f t="shared" si="24"/>
        <v>19</v>
      </c>
      <c r="B208" s="2">
        <v>1653</v>
      </c>
      <c r="C208" s="2">
        <v>80.1</v>
      </c>
      <c r="E208" s="2">
        <v>96.89</v>
      </c>
      <c r="F208" s="2">
        <v>35.6</v>
      </c>
      <c r="J208" s="2">
        <f t="shared" si="21"/>
        <v>0.08992772207973886</v>
      </c>
      <c r="K208" s="2">
        <f t="shared" si="19"/>
        <v>0.17808480228680323</v>
      </c>
      <c r="L208" s="2">
        <f t="shared" si="19"/>
      </c>
      <c r="M208" s="2">
        <f t="shared" si="19"/>
        <v>0.10217384754444109</v>
      </c>
      <c r="N208" s="2">
        <f t="shared" si="19"/>
        <v>0.22153080273802114</v>
      </c>
      <c r="O208" s="2">
        <f t="shared" si="19"/>
      </c>
      <c r="P208" s="2">
        <f t="shared" si="19"/>
      </c>
      <c r="Q208" s="2">
        <f t="shared" si="19"/>
      </c>
      <c r="R208" s="2">
        <f t="shared" si="22"/>
        <v>-1.0461064073730313</v>
      </c>
      <c r="S208" s="2">
        <f t="shared" si="20"/>
        <v>-0.7493731415395872</v>
      </c>
      <c r="T208" s="2">
        <f t="shared" si="20"/>
      </c>
      <c r="U208" s="2">
        <f t="shared" si="20"/>
        <v>-0.9906602521523371</v>
      </c>
      <c r="V208" s="2">
        <f t="shared" si="20"/>
        <v>-0.6545658787904693</v>
      </c>
      <c r="W208" s="2">
        <f t="shared" si="20"/>
      </c>
      <c r="X208" s="2">
        <f t="shared" si="20"/>
      </c>
      <c r="Y208" s="2">
        <f t="shared" si="20"/>
      </c>
      <c r="AA208" s="2">
        <f>LOG(B208/1000)</f>
        <v>0.2182728535714475</v>
      </c>
      <c r="AB208" s="10">
        <f t="shared" si="23"/>
        <v>-1</v>
      </c>
    </row>
    <row r="209" spans="1:28" s="6" customFormat="1" ht="12.75">
      <c r="A209" s="8">
        <f t="shared" si="24"/>
        <v>20</v>
      </c>
      <c r="B209" s="6">
        <v>1696</v>
      </c>
      <c r="C209" s="6">
        <v>94.84</v>
      </c>
      <c r="F209" s="6">
        <v>34.81</v>
      </c>
      <c r="G209" s="6">
        <v>4.374</v>
      </c>
      <c r="J209" s="2">
        <f t="shared" si="21"/>
        <v>0.09226703971399704</v>
      </c>
      <c r="K209" s="2">
        <f t="shared" si="19"/>
        <v>0.21085596315705893</v>
      </c>
      <c r="L209" s="2">
        <f t="shared" si="19"/>
      </c>
      <c r="M209" s="2">
        <f t="shared" si="19"/>
      </c>
      <c r="N209" s="2">
        <f t="shared" si="19"/>
        <v>0.2166148102053516</v>
      </c>
      <c r="O209" s="2">
        <f t="shared" si="19"/>
        <v>0.03879870747006273</v>
      </c>
      <c r="P209" s="2">
        <f t="shared" si="19"/>
      </c>
      <c r="Q209" s="2">
        <f t="shared" si="19"/>
      </c>
      <c r="R209" s="6">
        <f t="shared" si="22"/>
        <v>-1.0349534130237839</v>
      </c>
      <c r="S209" s="6">
        <f t="shared" si="20"/>
        <v>-0.6760141123176743</v>
      </c>
      <c r="T209" s="6">
        <f t="shared" si="20"/>
      </c>
      <c r="U209" s="6">
        <f t="shared" si="20"/>
      </c>
      <c r="V209" s="6">
        <f t="shared" si="20"/>
        <v>-0.6643118534790562</v>
      </c>
      <c r="W209" s="6">
        <f t="shared" si="20"/>
        <v>-1.4111827421369652</v>
      </c>
      <c r="X209" s="6">
        <f t="shared" si="20"/>
      </c>
      <c r="Y209" s="6">
        <f t="shared" si="20"/>
      </c>
      <c r="AA209" s="2">
        <f>LOG(B209/1000)</f>
        <v>0.229425847920695</v>
      </c>
      <c r="AB209" s="10">
        <f t="shared" si="23"/>
        <v>0</v>
      </c>
    </row>
    <row r="210" spans="1:28" ht="12.75">
      <c r="A210" s="2">
        <v>21</v>
      </c>
      <c r="B210" s="2">
        <v>2057</v>
      </c>
      <c r="C210" s="2">
        <v>123.5</v>
      </c>
      <c r="D210" s="2">
        <v>12.52</v>
      </c>
      <c r="E210" s="2">
        <v>74.86</v>
      </c>
      <c r="F210" s="2">
        <v>41.24</v>
      </c>
      <c r="H210" s="2">
        <v>8.549</v>
      </c>
      <c r="J210" s="2">
        <f t="shared" si="21"/>
        <v>0.11190642729462967</v>
      </c>
      <c r="K210" s="2">
        <f t="shared" si="19"/>
        <v>0.2745751945370812</v>
      </c>
      <c r="L210" s="2">
        <f t="shared" si="19"/>
        <v>0.09883838953422804</v>
      </c>
      <c r="M210" s="2">
        <f t="shared" si="19"/>
        <v>0.07894245254594758</v>
      </c>
      <c r="N210" s="2">
        <f t="shared" si="19"/>
        <v>0.2566272557560672</v>
      </c>
      <c r="O210" s="2">
        <f t="shared" si="19"/>
      </c>
      <c r="P210" s="2">
        <f t="shared" si="19"/>
        <v>0.06999181286549708</v>
      </c>
      <c r="Q210" s="2">
        <f t="shared" si="19"/>
      </c>
      <c r="R210" s="2">
        <f t="shared" si="22"/>
        <v>-0.9511449692497548</v>
      </c>
      <c r="S210" s="2">
        <f t="shared" si="20"/>
        <v>-0.5613387000281402</v>
      </c>
      <c r="T210" s="2">
        <f t="shared" si="20"/>
        <v>-1.0050743395760706</v>
      </c>
      <c r="U210" s="2">
        <f t="shared" si="20"/>
        <v>-1.1026893852799253</v>
      </c>
      <c r="V210" s="2">
        <f t="shared" si="20"/>
        <v>-0.5906972201518655</v>
      </c>
      <c r="W210" s="2">
        <f t="shared" si="20"/>
      </c>
      <c r="X210" s="2">
        <f t="shared" si="20"/>
        <v>-1.1549527576326697</v>
      </c>
      <c r="Y210" s="2">
        <f t="shared" si="20"/>
      </c>
      <c r="AA210" s="2">
        <f>LOG(B210/1000)</f>
        <v>0.313234291694724</v>
      </c>
      <c r="AB210" s="10">
        <f t="shared" si="23"/>
        <v>1</v>
      </c>
    </row>
    <row r="211" spans="1:28" ht="12.75">
      <c r="A211" s="3">
        <f aca="true" t="shared" si="25" ref="A211:A216">A178</f>
        <v>23</v>
      </c>
      <c r="B211" s="2">
        <v>2621</v>
      </c>
      <c r="C211" s="2">
        <v>168.7</v>
      </c>
      <c r="D211" s="2">
        <v>15.94</v>
      </c>
      <c r="E211" s="2">
        <v>95.23</v>
      </c>
      <c r="F211" s="2">
        <v>65.04</v>
      </c>
      <c r="G211" s="2">
        <v>10.89</v>
      </c>
      <c r="J211" s="2">
        <f t="shared" si="21"/>
        <v>0.1425895702183881</v>
      </c>
      <c r="K211" s="2">
        <f t="shared" si="19"/>
        <v>0.3750674924567254</v>
      </c>
      <c r="L211" s="2">
        <f t="shared" si="19"/>
        <v>0.12583737453479193</v>
      </c>
      <c r="M211" s="2">
        <f t="shared" si="19"/>
        <v>0.10042332027719192</v>
      </c>
      <c r="N211" s="2">
        <f t="shared" si="19"/>
        <v>0.4047293092719353</v>
      </c>
      <c r="O211" s="2">
        <f t="shared" si="19"/>
        <v>0.09659760501805742</v>
      </c>
      <c r="P211" s="2">
        <f t="shared" si="19"/>
      </c>
      <c r="Q211" s="2">
        <f t="shared" si="19"/>
      </c>
      <c r="R211" s="2">
        <f t="shared" si="22"/>
        <v>-0.8459122399978783</v>
      </c>
      <c r="S211" s="2">
        <f t="shared" si="20"/>
        <v>-0.4258905750346997</v>
      </c>
      <c r="T211" s="2">
        <f t="shared" si="20"/>
        <v>-0.9001903513903879</v>
      </c>
      <c r="U211" s="2">
        <f t="shared" si="20"/>
        <v>-0.9981654237282059</v>
      </c>
      <c r="V211" s="2">
        <f t="shared" si="20"/>
        <v>-0.3928353441773328</v>
      </c>
      <c r="W211" s="2">
        <f t="shared" si="20"/>
        <v>-1.0150336410828085</v>
      </c>
      <c r="X211" s="2">
        <f t="shared" si="20"/>
      </c>
      <c r="Y211" s="2">
        <f t="shared" si="20"/>
      </c>
      <c r="AA211" s="2">
        <f aca="true" t="shared" si="26" ref="AA211:AA223">LOG(B211/1000)</f>
        <v>0.4184670209466005</v>
      </c>
      <c r="AB211" s="10">
        <f t="shared" si="23"/>
        <v>3</v>
      </c>
    </row>
    <row r="212" spans="1:28" ht="12.75">
      <c r="A212" s="3">
        <f t="shared" si="25"/>
        <v>26</v>
      </c>
      <c r="B212" s="2">
        <v>4552</v>
      </c>
      <c r="C212" s="2">
        <v>220.3</v>
      </c>
      <c r="F212" s="2">
        <v>97.97</v>
      </c>
      <c r="H212" s="2">
        <v>24.59</v>
      </c>
      <c r="J212" s="2">
        <f t="shared" si="21"/>
        <v>0.24764125281728452</v>
      </c>
      <c r="K212" s="2">
        <f t="shared" si="19"/>
        <v>0.4897887883118946</v>
      </c>
      <c r="L212" s="2">
        <f t="shared" si="19"/>
      </c>
      <c r="M212" s="2">
        <f t="shared" si="19"/>
      </c>
      <c r="N212" s="2">
        <f t="shared" si="19"/>
        <v>0.6096453018046047</v>
      </c>
      <c r="O212" s="2">
        <f t="shared" si="19"/>
      </c>
      <c r="P212" s="2">
        <f t="shared" si="19"/>
        <v>0.2013216374269006</v>
      </c>
      <c r="Q212" s="2">
        <f t="shared" si="19"/>
      </c>
      <c r="R212" s="2">
        <f t="shared" si="22"/>
        <v>-0.6061770075574641</v>
      </c>
      <c r="S212" s="2">
        <f t="shared" si="20"/>
        <v>-0.3099911604730572</v>
      </c>
      <c r="T212" s="2">
        <f t="shared" si="20"/>
      </c>
      <c r="U212" s="2">
        <f t="shared" si="20"/>
      </c>
      <c r="V212" s="2">
        <f t="shared" si="20"/>
        <v>-0.2149227687144572</v>
      </c>
      <c r="W212" s="2">
        <f t="shared" si="20"/>
      </c>
      <c r="X212" s="2">
        <f t="shared" si="20"/>
        <v>-0.6961095459751986</v>
      </c>
      <c r="Y212" s="2">
        <f t="shared" si="20"/>
      </c>
      <c r="AA212" s="2">
        <f t="shared" si="26"/>
        <v>0.6582022533870148</v>
      </c>
      <c r="AB212" s="10">
        <f t="shared" si="23"/>
        <v>6</v>
      </c>
    </row>
    <row r="213" spans="1:28" ht="12.75">
      <c r="A213" s="3">
        <f t="shared" si="25"/>
        <v>27</v>
      </c>
      <c r="B213" s="2">
        <v>5138</v>
      </c>
      <c r="C213" s="2">
        <v>339.1</v>
      </c>
      <c r="D213" s="2">
        <v>45.79</v>
      </c>
      <c r="E213" s="2">
        <v>166</v>
      </c>
      <c r="F213" s="2">
        <v>87.21</v>
      </c>
      <c r="G213" s="2">
        <v>31.31</v>
      </c>
      <c r="J213" s="2">
        <f t="shared" si="21"/>
        <v>0.2795212559260123</v>
      </c>
      <c r="K213" s="2">
        <f t="shared" si="19"/>
        <v>0.7539145624900747</v>
      </c>
      <c r="L213" s="2">
        <f t="shared" si="19"/>
        <v>0.36148641028532763</v>
      </c>
      <c r="M213" s="2">
        <f t="shared" si="19"/>
        <v>0.17505272672491715</v>
      </c>
      <c r="N213" s="2">
        <f t="shared" si="19"/>
        <v>0.5426882389545736</v>
      </c>
      <c r="O213" s="2">
        <f t="shared" si="19"/>
        <v>0.2777292023062789</v>
      </c>
      <c r="P213" s="2">
        <f t="shared" si="19"/>
      </c>
      <c r="Q213" s="2">
        <f t="shared" si="19"/>
      </c>
      <c r="R213" s="2">
        <f t="shared" si="22"/>
        <v>-0.5535851610141515</v>
      </c>
      <c r="S213" s="2">
        <f t="shared" si="20"/>
        <v>-0.1226778678457385</v>
      </c>
      <c r="T213" s="2">
        <f t="shared" si="20"/>
        <v>-0.4419080249227841</v>
      </c>
      <c r="U213" s="2">
        <f t="shared" si="20"/>
        <v>-0.7568311200182732</v>
      </c>
      <c r="V213" s="2">
        <f t="shared" si="20"/>
        <v>-0.26544959027325443</v>
      </c>
      <c r="W213" s="2">
        <f t="shared" si="20"/>
        <v>-0.5563784532216682</v>
      </c>
      <c r="X213" s="2">
        <f t="shared" si="20"/>
      </c>
      <c r="Y213" s="2">
        <f t="shared" si="20"/>
      </c>
      <c r="AA213" s="2">
        <f t="shared" si="26"/>
        <v>0.7107940999303274</v>
      </c>
      <c r="AB213" s="10">
        <f t="shared" si="23"/>
        <v>7</v>
      </c>
    </row>
    <row r="214" spans="1:28" ht="12.75">
      <c r="A214" s="3">
        <f t="shared" si="25"/>
        <v>34</v>
      </c>
      <c r="B214" s="2">
        <v>7443</v>
      </c>
      <c r="C214" s="2">
        <v>396.5</v>
      </c>
      <c r="D214" s="2">
        <v>64.8</v>
      </c>
      <c r="E214" s="2">
        <v>319.9</v>
      </c>
      <c r="F214" s="2">
        <v>117.6</v>
      </c>
      <c r="G214" s="2">
        <v>63.36</v>
      </c>
      <c r="H214" s="2">
        <v>46.43</v>
      </c>
      <c r="I214" s="2">
        <v>0.6994</v>
      </c>
      <c r="J214" s="2">
        <f t="shared" si="21"/>
        <v>0.4049195616693868</v>
      </c>
      <c r="K214" s="2">
        <f t="shared" si="19"/>
        <v>0.8815308877243132</v>
      </c>
      <c r="L214" s="2">
        <f t="shared" si="19"/>
        <v>0.5115597158001579</v>
      </c>
      <c r="M214" s="2">
        <f t="shared" si="19"/>
        <v>0.33734558601988546</v>
      </c>
      <c r="N214" s="2">
        <f t="shared" si="19"/>
        <v>0.7317983820784069</v>
      </c>
      <c r="O214" s="2">
        <f t="shared" si="19"/>
        <v>0.5620224291959703</v>
      </c>
      <c r="P214" s="2">
        <f t="shared" si="19"/>
        <v>0.38012865497076026</v>
      </c>
      <c r="Q214" s="2">
        <f t="shared" si="19"/>
        <v>0.25576219830738695</v>
      </c>
      <c r="R214" s="2">
        <f t="shared" si="22"/>
        <v>-0.39263124195260724</v>
      </c>
      <c r="S214" s="2">
        <f t="shared" si="20"/>
        <v>-0.05476246597020222</v>
      </c>
      <c r="T214" s="2">
        <f t="shared" si="20"/>
        <v>-0.2911036625798881</v>
      </c>
      <c r="U214" s="2">
        <f t="shared" si="20"/>
        <v>-0.47192496797422134</v>
      </c>
      <c r="V214" s="2">
        <f t="shared" si="20"/>
        <v>-0.1356085550232249</v>
      </c>
      <c r="W214" s="2">
        <f t="shared" si="20"/>
        <v>-0.2502463522571464</v>
      </c>
      <c r="X214" s="2">
        <f t="shared" si="20"/>
        <v>-0.4200693910477417</v>
      </c>
      <c r="Y214" s="2">
        <f t="shared" si="20"/>
        <v>-0.5921636439061185</v>
      </c>
      <c r="AA214" s="2">
        <f t="shared" si="26"/>
        <v>0.8717480189918715</v>
      </c>
      <c r="AB214" s="10">
        <f t="shared" si="23"/>
        <v>14</v>
      </c>
    </row>
    <row r="215" spans="1:28" s="6" customFormat="1" ht="12.75">
      <c r="A215" s="8">
        <f t="shared" si="25"/>
        <v>41</v>
      </c>
      <c r="B215" s="6">
        <v>12440</v>
      </c>
      <c r="C215" s="6">
        <v>392.5</v>
      </c>
      <c r="D215" s="6">
        <v>89.54</v>
      </c>
      <c r="E215" s="6">
        <v>534.9</v>
      </c>
      <c r="F215" s="6">
        <v>128</v>
      </c>
      <c r="G215" s="6">
        <v>103.4</v>
      </c>
      <c r="H215" s="6">
        <v>61.15</v>
      </c>
      <c r="J215" s="2">
        <f t="shared" si="21"/>
        <v>0.6767700318644594</v>
      </c>
      <c r="K215" s="2">
        <f t="shared" si="19"/>
        <v>0.8726377640146101</v>
      </c>
      <c r="L215" s="2">
        <f t="shared" si="19"/>
        <v>0.7068681628510207</v>
      </c>
      <c r="M215" s="2">
        <f t="shared" si="19"/>
        <v>0.5640705031636034</v>
      </c>
      <c r="N215" s="2">
        <f t="shared" si="19"/>
        <v>0.7965152457996265</v>
      </c>
      <c r="O215" s="2">
        <f t="shared" si="19"/>
        <v>0.9171893809795351</v>
      </c>
      <c r="P215" s="2">
        <f t="shared" si="19"/>
        <v>0.5006432748538012</v>
      </c>
      <c r="Q215" s="2">
        <f t="shared" si="19"/>
      </c>
      <c r="R215" s="6">
        <f t="shared" si="22"/>
        <v>-0.16955888058967897</v>
      </c>
      <c r="S215" s="6">
        <f t="shared" si="20"/>
        <v>-0.05916599654255351</v>
      </c>
      <c r="T215" s="6">
        <f t="shared" si="20"/>
        <v>-0.15066157840305514</v>
      </c>
      <c r="U215" s="6">
        <f t="shared" si="20"/>
        <v>-0.24866661016331135</v>
      </c>
      <c r="V215" s="6">
        <f t="shared" si="20"/>
        <v>-0.09880590711547624</v>
      </c>
      <c r="W215" s="6">
        <f t="shared" si="20"/>
        <v>-0.03754098208065975</v>
      </c>
      <c r="X215" s="6">
        <f t="shared" si="20"/>
        <v>-0.3004716133416115</v>
      </c>
      <c r="Y215" s="6">
        <f t="shared" si="20"/>
      </c>
      <c r="AA215" s="2">
        <f t="shared" si="26"/>
        <v>1.0948203803547998</v>
      </c>
      <c r="AB215" s="10">
        <f t="shared" si="23"/>
        <v>21</v>
      </c>
    </row>
    <row r="216" spans="1:28" ht="12.75">
      <c r="A216" s="3">
        <f t="shared" si="25"/>
        <v>48</v>
      </c>
      <c r="B216" s="2">
        <v>16010</v>
      </c>
      <c r="C216" s="2">
        <v>448.1</v>
      </c>
      <c r="D216" s="2">
        <v>118.1</v>
      </c>
      <c r="E216" s="2">
        <v>757.2</v>
      </c>
      <c r="F216" s="2">
        <v>153.3</v>
      </c>
      <c r="G216" s="2">
        <v>99.91</v>
      </c>
      <c r="H216" s="2">
        <v>120.8</v>
      </c>
      <c r="I216" s="2">
        <v>2.424</v>
      </c>
      <c r="J216" s="2">
        <f t="shared" si="21"/>
        <v>0.8709877982435688</v>
      </c>
      <c r="K216" s="2">
        <f aca="true" t="shared" si="27" ref="K216:K223">IF(C216="","",C216/C$217)</f>
        <v>0.9962521835794823</v>
      </c>
      <c r="L216" s="2">
        <f aca="true" t="shared" si="28" ref="L216:L223">IF(D216="","",D216/D$217)</f>
        <v>0.9323333709259051</v>
      </c>
      <c r="M216" s="2">
        <f aca="true" t="shared" si="29" ref="M216:M223">IF(E216="","",E216/E$217)</f>
        <v>0.7984935221452245</v>
      </c>
      <c r="N216" s="2">
        <f aca="true" t="shared" si="30" ref="N216:N223">IF(F216="","",F216/F$217)</f>
        <v>0.9539514623522091</v>
      </c>
      <c r="O216" s="2">
        <f aca="true" t="shared" si="31" ref="O216:O223">IF(G216="","",G216/G$217)</f>
        <v>0.8862320217956029</v>
      </c>
      <c r="P216" s="2">
        <f aca="true" t="shared" si="32" ref="P216:P223">IF(H216="","",H216/H$217)</f>
        <v>0.9890058479532163</v>
      </c>
      <c r="Q216" s="2">
        <f aca="true" t="shared" si="33" ref="Q216:Q223">IF(I216="","",I216/I$217)</f>
        <v>0.8864277504962909</v>
      </c>
      <c r="R216" s="2">
        <f t="shared" si="22"/>
        <v>-0.059987929025179104</v>
      </c>
      <c r="S216" s="2">
        <f t="shared" si="20"/>
        <v>-0.0016307137107815963</v>
      </c>
      <c r="T216" s="2">
        <f t="shared" si="20"/>
        <v>-0.030428770836966657</v>
      </c>
      <c r="U216" s="2">
        <f t="shared" si="20"/>
        <v>-0.09772860276656915</v>
      </c>
      <c r="V216" s="2">
        <f t="shared" si="20"/>
        <v>-0.020473721908969376</v>
      </c>
      <c r="W216" s="2">
        <f t="shared" si="20"/>
        <v>-0.05245256186716643</v>
      </c>
      <c r="X216" s="2">
        <f t="shared" si="20"/>
        <v>-0.004801140428802806</v>
      </c>
      <c r="Y216" s="2">
        <f t="shared" si="20"/>
        <v>-0.052356656385095936</v>
      </c>
      <c r="AA216" s="2">
        <f t="shared" si="26"/>
        <v>1.2043913319192998</v>
      </c>
      <c r="AB216" s="10">
        <f t="shared" si="23"/>
        <v>28</v>
      </c>
    </row>
    <row r="217" spans="1:28" ht="12.75">
      <c r="A217" s="3">
        <v>50</v>
      </c>
      <c r="B217" s="4">
        <f>B216+(2/7)*(B218-B216)</f>
        <v>18381.428571428572</v>
      </c>
      <c r="C217" s="35">
        <f aca="true" t="shared" si="34" ref="C217:I217">C216+(2/7)*(C218-C216)</f>
        <v>449.7857142857143</v>
      </c>
      <c r="D217" s="35">
        <f t="shared" si="34"/>
        <v>126.67142857142856</v>
      </c>
      <c r="E217" s="35">
        <f t="shared" si="34"/>
        <v>948.2857142857143</v>
      </c>
      <c r="F217" s="35">
        <f t="shared" si="34"/>
        <v>160.70000000000002</v>
      </c>
      <c r="G217" s="35">
        <f t="shared" si="34"/>
        <v>112.73571428571428</v>
      </c>
      <c r="H217" s="35">
        <f t="shared" si="34"/>
        <v>122.14285714285714</v>
      </c>
      <c r="I217" s="34">
        <f t="shared" si="34"/>
        <v>2.7345714285714284</v>
      </c>
      <c r="J217" s="2">
        <f t="shared" si="21"/>
        <v>1</v>
      </c>
      <c r="K217" s="2">
        <f t="shared" si="27"/>
        <v>1</v>
      </c>
      <c r="L217" s="2">
        <f t="shared" si="28"/>
        <v>1</v>
      </c>
      <c r="M217" s="2">
        <f t="shared" si="29"/>
        <v>1</v>
      </c>
      <c r="N217" s="2">
        <f t="shared" si="30"/>
        <v>1</v>
      </c>
      <c r="O217" s="2">
        <f t="shared" si="31"/>
        <v>1</v>
      </c>
      <c r="P217" s="2">
        <f t="shared" si="32"/>
        <v>1</v>
      </c>
      <c r="Q217" s="2">
        <f t="shared" si="33"/>
        <v>1</v>
      </c>
      <c r="AB217" s="10">
        <f t="shared" si="23"/>
        <v>30</v>
      </c>
    </row>
    <row r="218" spans="1:28" ht="12.75">
      <c r="A218" s="3">
        <f>A184</f>
        <v>55</v>
      </c>
      <c r="B218" s="2">
        <v>24310</v>
      </c>
      <c r="C218" s="2">
        <v>454</v>
      </c>
      <c r="D218" s="2">
        <v>148.1</v>
      </c>
      <c r="E218" s="2">
        <v>1426</v>
      </c>
      <c r="F218" s="2">
        <v>179.2</v>
      </c>
      <c r="G218" s="2">
        <v>144.8</v>
      </c>
      <c r="H218" s="2">
        <v>125.5</v>
      </c>
      <c r="I218" s="2">
        <v>3.511</v>
      </c>
      <c r="J218" s="2">
        <f t="shared" si="21"/>
        <v>1.3225305043910778</v>
      </c>
      <c r="K218" s="2">
        <f t="shared" si="27"/>
        <v>1.0093695410512944</v>
      </c>
      <c r="L218" s="2">
        <f t="shared" si="28"/>
        <v>1.1691665726852374</v>
      </c>
      <c r="M218" s="2">
        <f t="shared" si="29"/>
        <v>1.5037661946369387</v>
      </c>
      <c r="N218" s="2">
        <f t="shared" si="30"/>
        <v>1.1151213441194772</v>
      </c>
      <c r="O218" s="2">
        <f t="shared" si="31"/>
        <v>1.284419945510993</v>
      </c>
      <c r="P218" s="2">
        <f t="shared" si="32"/>
        <v>1.027485380116959</v>
      </c>
      <c r="Q218" s="2">
        <f t="shared" si="33"/>
        <v>1.283930623759273</v>
      </c>
      <c r="R218" s="2">
        <f t="shared" si="22"/>
        <v>0.12140569789885688</v>
      </c>
      <c r="S218" s="2">
        <f t="shared" si="20"/>
        <v>0.004050195233279121</v>
      </c>
      <c r="T218" s="2">
        <f t="shared" si="20"/>
        <v>0.067876390070727</v>
      </c>
      <c r="U218" s="2">
        <f t="shared" si="20"/>
        <v>0.17718031745751842</v>
      </c>
      <c r="V218" s="2">
        <f t="shared" si="20"/>
        <v>0.04732212856276181</v>
      </c>
      <c r="W218" s="2">
        <f t="shared" si="20"/>
        <v>0.10870704102254465</v>
      </c>
      <c r="X218" s="2">
        <f t="shared" si="20"/>
        <v>0.011775651103141108</v>
      </c>
      <c r="Y218" s="2">
        <f t="shared" si="20"/>
        <v>0.10854155758600673</v>
      </c>
      <c r="AA218" s="2">
        <f t="shared" si="26"/>
        <v>1.3857849588433357</v>
      </c>
      <c r="AB218" s="10">
        <f t="shared" si="23"/>
        <v>35</v>
      </c>
    </row>
    <row r="219" spans="1:28" ht="12.75">
      <c r="A219" s="3">
        <f>A185</f>
        <v>62</v>
      </c>
      <c r="B219" s="2">
        <v>25840</v>
      </c>
      <c r="C219" s="2">
        <v>471.3</v>
      </c>
      <c r="D219" s="2">
        <v>153.7</v>
      </c>
      <c r="E219" s="2">
        <v>1410</v>
      </c>
      <c r="F219" s="2">
        <v>177.3</v>
      </c>
      <c r="G219" s="2">
        <v>139.7</v>
      </c>
      <c r="H219" s="2">
        <v>95.44</v>
      </c>
      <c r="I219" s="2">
        <v>3.474</v>
      </c>
      <c r="J219" s="2">
        <f t="shared" si="21"/>
        <v>1.4057666899821248</v>
      </c>
      <c r="K219" s="2">
        <f t="shared" si="27"/>
        <v>1.04783230109576</v>
      </c>
      <c r="L219" s="2">
        <f t="shared" si="28"/>
        <v>1.213375437013646</v>
      </c>
      <c r="M219" s="2">
        <f t="shared" si="29"/>
        <v>1.4868936426634527</v>
      </c>
      <c r="N219" s="2">
        <f t="shared" si="30"/>
        <v>1.103298070939639</v>
      </c>
      <c r="O219" s="2">
        <f t="shared" si="31"/>
        <v>1.239181397706393</v>
      </c>
      <c r="P219" s="2">
        <f t="shared" si="32"/>
        <v>0.7813801169590643</v>
      </c>
      <c r="Q219" s="2">
        <f t="shared" si="33"/>
        <v>1.2704001671716645</v>
      </c>
      <c r="R219" s="2">
        <f t="shared" si="22"/>
        <v>0.14791324837856767</v>
      </c>
      <c r="S219" s="2">
        <f t="shared" si="20"/>
        <v>0.020291782135810957</v>
      </c>
      <c r="T219" s="2">
        <f t="shared" si="20"/>
        <v>0.08399519904926364</v>
      </c>
      <c r="U219" s="2">
        <f t="shared" si="20"/>
        <v>0.17227990459705153</v>
      </c>
      <c r="V219" s="2">
        <f t="shared" si="20"/>
        <v>0.04269285883757321</v>
      </c>
      <c r="W219" s="2">
        <f t="shared" si="20"/>
        <v>0.09313488527559842</v>
      </c>
      <c r="X219" s="2">
        <f t="shared" si="20"/>
        <v>-0.10713764405163037</v>
      </c>
      <c r="Y219" s="2">
        <f t="shared" si="20"/>
        <v>0.10394054223173534</v>
      </c>
      <c r="AA219" s="2">
        <f t="shared" si="26"/>
        <v>1.4122925093230465</v>
      </c>
      <c r="AB219" s="10">
        <f t="shared" si="23"/>
        <v>42</v>
      </c>
    </row>
    <row r="220" spans="1:28" ht="12.75">
      <c r="A220" s="3">
        <f>A187</f>
        <v>69</v>
      </c>
      <c r="B220" s="2">
        <v>25570</v>
      </c>
      <c r="C220" s="2">
        <v>466.4</v>
      </c>
      <c r="D220" s="2">
        <v>184.1</v>
      </c>
      <c r="E220" s="2">
        <v>1572</v>
      </c>
      <c r="F220" s="2">
        <v>207.4</v>
      </c>
      <c r="G220" s="2">
        <v>128.8</v>
      </c>
      <c r="H220" s="2">
        <v>62.99</v>
      </c>
      <c r="I220" s="2">
        <v>3.871</v>
      </c>
      <c r="J220" s="2">
        <f t="shared" si="21"/>
        <v>1.3910779513484106</v>
      </c>
      <c r="K220" s="2">
        <f t="shared" si="27"/>
        <v>1.0369382245513736</v>
      </c>
      <c r="L220" s="2">
        <f t="shared" si="28"/>
        <v>1.4533664147964362</v>
      </c>
      <c r="M220" s="2">
        <f t="shared" si="29"/>
        <v>1.6577282313949984</v>
      </c>
      <c r="N220" s="2">
        <f t="shared" si="30"/>
        <v>1.2906036092097075</v>
      </c>
      <c r="O220" s="2">
        <f t="shared" si="31"/>
        <v>1.1424950896534247</v>
      </c>
      <c r="P220" s="2">
        <f t="shared" si="32"/>
        <v>0.5157076023391813</v>
      </c>
      <c r="Q220" s="2">
        <f t="shared" si="33"/>
        <v>1.4155783094765437</v>
      </c>
      <c r="R220" s="2">
        <f t="shared" si="22"/>
        <v>0.14335146708185664</v>
      </c>
      <c r="S220" s="2">
        <f t="shared" si="20"/>
        <v>0.015752884127132806</v>
      </c>
      <c r="T220" s="2">
        <f t="shared" si="20"/>
        <v>0.16237512005353325</v>
      </c>
      <c r="U220" s="2">
        <f t="shared" si="20"/>
        <v>0.21951333364506073</v>
      </c>
      <c r="V220" s="2">
        <f t="shared" si="20"/>
        <v>0.11079287528967761</v>
      </c>
      <c r="W220" s="2">
        <f t="shared" si="20"/>
        <v>0.057854342185209844</v>
      </c>
      <c r="X220" s="2">
        <f t="shared" si="20"/>
        <v>-0.2875964663640431</v>
      </c>
      <c r="Y220" s="2">
        <f t="shared" si="20"/>
        <v>0.15093389943961058</v>
      </c>
      <c r="AA220" s="2">
        <f>LOG(B220/1000)</f>
        <v>1.4077307280263354</v>
      </c>
      <c r="AB220" s="10">
        <f t="shared" si="23"/>
        <v>49</v>
      </c>
    </row>
    <row r="221" spans="1:28" ht="12.75">
      <c r="A221" s="3">
        <f>A188</f>
        <v>76</v>
      </c>
      <c r="B221" s="2">
        <v>26540</v>
      </c>
      <c r="C221" s="2">
        <v>472.7</v>
      </c>
      <c r="D221" s="2">
        <v>169.6</v>
      </c>
      <c r="E221" s="2">
        <v>1671</v>
      </c>
      <c r="F221" s="2">
        <v>186.6</v>
      </c>
      <c r="G221" s="2">
        <v>140.2</v>
      </c>
      <c r="H221" s="2">
        <v>70.26</v>
      </c>
      <c r="I221" s="2">
        <v>3.832</v>
      </c>
      <c r="J221" s="2">
        <f t="shared" si="21"/>
        <v>1.4438486049584207</v>
      </c>
      <c r="K221" s="2">
        <f t="shared" si="27"/>
        <v>1.050944894394156</v>
      </c>
      <c r="L221" s="2">
        <f t="shared" si="28"/>
        <v>1.3388970339460924</v>
      </c>
      <c r="M221" s="2">
        <f t="shared" si="29"/>
        <v>1.762127146730943</v>
      </c>
      <c r="N221" s="2">
        <f t="shared" si="30"/>
        <v>1.161169881767268</v>
      </c>
      <c r="O221" s="2">
        <f t="shared" si="31"/>
        <v>1.243616549451942</v>
      </c>
      <c r="P221" s="2">
        <f t="shared" si="32"/>
        <v>0.5752280701754386</v>
      </c>
      <c r="Q221" s="2">
        <f t="shared" si="33"/>
        <v>1.4013164768571726</v>
      </c>
      <c r="R221" s="2">
        <f t="shared" si="22"/>
        <v>0.15952165758393788</v>
      </c>
      <c r="S221" s="2">
        <f t="shared" si="20"/>
        <v>0.021579944679089046</v>
      </c>
      <c r="T221" s="2">
        <f t="shared" si="20"/>
        <v>0.1267471794702136</v>
      </c>
      <c r="U221" s="2">
        <f t="shared" si="20"/>
        <v>0.246037241835063</v>
      </c>
      <c r="V221" s="2">
        <f t="shared" si="20"/>
        <v>0.06489576264713652</v>
      </c>
      <c r="W221" s="2">
        <f t="shared" si="20"/>
        <v>0.09468649279205636</v>
      </c>
      <c r="X221" s="2">
        <f t="shared" si="20"/>
        <v>-0.24015992925790902</v>
      </c>
      <c r="Y221" s="2">
        <f t="shared" si="20"/>
        <v>0.14653622852716228</v>
      </c>
      <c r="AA221" s="2">
        <f>LOG(B221/1000)</f>
        <v>1.4239009185284166</v>
      </c>
      <c r="AB221" s="10">
        <f t="shared" si="23"/>
        <v>56</v>
      </c>
    </row>
    <row r="222" spans="1:28" ht="12.75">
      <c r="A222" s="3">
        <f>A189</f>
        <v>83</v>
      </c>
      <c r="B222" s="2">
        <v>26270</v>
      </c>
      <c r="C222" s="2">
        <v>467.7</v>
      </c>
      <c r="D222" s="2">
        <v>193.8</v>
      </c>
      <c r="E222" s="2">
        <v>1615</v>
      </c>
      <c r="F222" s="2">
        <v>184.6</v>
      </c>
      <c r="G222" s="2">
        <v>123.1</v>
      </c>
      <c r="H222" s="2">
        <v>56.08</v>
      </c>
      <c r="I222" s="2">
        <v>3.884</v>
      </c>
      <c r="J222" s="2">
        <f t="shared" si="21"/>
        <v>1.4291598663247065</v>
      </c>
      <c r="K222" s="2">
        <f t="shared" si="27"/>
        <v>1.0398284897570271</v>
      </c>
      <c r="L222" s="2">
        <f t="shared" si="28"/>
        <v>1.5299424833652873</v>
      </c>
      <c r="M222" s="2">
        <f t="shared" si="29"/>
        <v>1.703073214823742</v>
      </c>
      <c r="N222" s="2">
        <f t="shared" si="30"/>
        <v>1.1487243310516488</v>
      </c>
      <c r="O222" s="2">
        <f t="shared" si="31"/>
        <v>1.091934359754166</v>
      </c>
      <c r="P222" s="2">
        <f t="shared" si="32"/>
        <v>0.4591345029239766</v>
      </c>
      <c r="Q222" s="2">
        <f t="shared" si="33"/>
        <v>1.4203322536830008</v>
      </c>
      <c r="R222" s="2">
        <f t="shared" si="22"/>
        <v>0.15508081184159145</v>
      </c>
      <c r="S222" s="2">
        <f t="shared" si="20"/>
        <v>0.01696171228467926</v>
      </c>
      <c r="T222" s="2">
        <f t="shared" si="20"/>
        <v>0.18467510426426512</v>
      </c>
      <c r="U222" s="2">
        <f t="shared" si="20"/>
        <v>0.23123331860879334</v>
      </c>
      <c r="V222" s="2">
        <f t="shared" si="20"/>
        <v>0.06021581992654864</v>
      </c>
      <c r="W222" s="2">
        <f t="shared" si="20"/>
        <v>0.03819653209273284</v>
      </c>
      <c r="X222" s="2">
        <f t="shared" si="20"/>
        <v>-0.33806006975531355</v>
      </c>
      <c r="Y222" s="2">
        <f t="shared" si="20"/>
        <v>0.15238994935662273</v>
      </c>
      <c r="AA222" s="2">
        <f>LOG(B222/1000)</f>
        <v>1.4194600727860702</v>
      </c>
      <c r="AB222" s="10">
        <f t="shared" si="23"/>
        <v>63</v>
      </c>
    </row>
    <row r="223" spans="1:28" ht="12.75">
      <c r="A223" s="3">
        <f>A190</f>
        <v>90</v>
      </c>
      <c r="B223" s="2">
        <v>27260</v>
      </c>
      <c r="C223" s="2">
        <v>452.2</v>
      </c>
      <c r="D223" s="2">
        <v>226.5</v>
      </c>
      <c r="E223" s="2">
        <v>1561</v>
      </c>
      <c r="F223" s="2">
        <v>191.7</v>
      </c>
      <c r="G223" s="2">
        <v>127.8</v>
      </c>
      <c r="H223" s="2">
        <v>65.58</v>
      </c>
      <c r="I223" s="2">
        <v>4.767</v>
      </c>
      <c r="J223" s="2">
        <f t="shared" si="21"/>
        <v>1.483018574648325</v>
      </c>
      <c r="K223" s="2">
        <f t="shared" si="27"/>
        <v>1.0053676353819279</v>
      </c>
      <c r="L223" s="2">
        <f t="shared" si="28"/>
        <v>1.7880906732829593</v>
      </c>
      <c r="M223" s="2">
        <f t="shared" si="29"/>
        <v>1.6461283519132268</v>
      </c>
      <c r="N223" s="2">
        <f t="shared" si="30"/>
        <v>1.1929060360920969</v>
      </c>
      <c r="O223" s="2">
        <f t="shared" si="31"/>
        <v>1.1336247861623265</v>
      </c>
      <c r="P223" s="2">
        <f t="shared" si="32"/>
        <v>0.5369122807017543</v>
      </c>
      <c r="Q223" s="2">
        <f t="shared" si="33"/>
        <v>1.743234771706196</v>
      </c>
      <c r="R223" s="2">
        <f t="shared" si="22"/>
        <v>0.17114659055417591</v>
      </c>
      <c r="S223" s="2">
        <f t="shared" si="20"/>
        <v>0.0023249003855160487</v>
      </c>
      <c r="T223" s="2">
        <f t="shared" si="20"/>
        <v>0.2523895378983692</v>
      </c>
      <c r="U223" s="2">
        <f t="shared" si="20"/>
        <v>0.21646369500408918</v>
      </c>
      <c r="V223" s="2">
        <f t="shared" si="20"/>
        <v>0.076606236114718</v>
      </c>
      <c r="W223" s="2">
        <f t="shared" si="20"/>
        <v>0.054469332983797844</v>
      </c>
      <c r="X223" s="2">
        <f t="shared" si="20"/>
        <v>-0.2700966623805694</v>
      </c>
      <c r="Y223" s="2">
        <f t="shared" si="20"/>
        <v>0.2413558800476975</v>
      </c>
      <c r="AA223" s="2">
        <f>LOG(B223/1000)</f>
        <v>1.4355258514986549</v>
      </c>
      <c r="AB223" s="10">
        <f t="shared" si="23"/>
        <v>70</v>
      </c>
    </row>
    <row r="225" ht="12.75">
      <c r="A225" s="2" t="s">
        <v>101</v>
      </c>
    </row>
    <row r="226" spans="9:16" ht="12.75">
      <c r="I226" s="6" t="s">
        <v>103</v>
      </c>
      <c r="P226" s="6" t="s">
        <v>104</v>
      </c>
    </row>
    <row r="227" spans="1:22" ht="12.75">
      <c r="A227" s="2" t="s">
        <v>102</v>
      </c>
      <c r="B227" t="s">
        <v>97</v>
      </c>
      <c r="C227" t="s">
        <v>90</v>
      </c>
      <c r="D227" t="s">
        <v>87</v>
      </c>
      <c r="E227" t="s">
        <v>88</v>
      </c>
      <c r="F227" t="s">
        <v>89</v>
      </c>
      <c r="G227" t="s">
        <v>91</v>
      </c>
      <c r="H227" t="s">
        <v>92</v>
      </c>
      <c r="I227" t="s">
        <v>97</v>
      </c>
      <c r="J227" t="s">
        <v>90</v>
      </c>
      <c r="K227" t="s">
        <v>87</v>
      </c>
      <c r="L227" t="s">
        <v>88</v>
      </c>
      <c r="M227" t="s">
        <v>89</v>
      </c>
      <c r="N227" t="s">
        <v>91</v>
      </c>
      <c r="O227" t="s">
        <v>92</v>
      </c>
      <c r="P227" t="s">
        <v>97</v>
      </c>
      <c r="Q227" t="s">
        <v>90</v>
      </c>
      <c r="R227" t="s">
        <v>87</v>
      </c>
      <c r="S227" t="s">
        <v>88</v>
      </c>
      <c r="T227" t="s">
        <v>89</v>
      </c>
      <c r="U227" t="s">
        <v>91</v>
      </c>
      <c r="V227" t="s">
        <v>92</v>
      </c>
    </row>
    <row r="228" spans="1:15" ht="12.75">
      <c r="A228" s="2">
        <v>11</v>
      </c>
      <c r="B228" s="2">
        <f>AVERAGE(B200)</f>
        <v>12</v>
      </c>
      <c r="I228" s="2">
        <f aca="true" t="shared" si="35" ref="I228:I250">IF(B228="","",B228/B$250)</f>
        <v>0.0003605769230769231</v>
      </c>
      <c r="J228" s="2">
        <f aca="true" t="shared" si="36" ref="J228:O243">IF(C228="","",C228/C$250)</f>
      </c>
      <c r="K228" s="2">
        <f t="shared" si="36"/>
      </c>
      <c r="L228" s="2">
        <f t="shared" si="36"/>
      </c>
      <c r="M228" s="2">
        <f t="shared" si="36"/>
      </c>
      <c r="N228" s="2">
        <f t="shared" si="36"/>
      </c>
      <c r="O228" s="2">
        <f t="shared" si="36"/>
      </c>
    </row>
    <row r="229" spans="1:16" s="6" customFormat="1" ht="12.75">
      <c r="A229" s="6">
        <v>12</v>
      </c>
      <c r="B229" s="5">
        <f aca="true" t="shared" si="37" ref="B229:B238">AVERAGE(B201,B167)</f>
        <v>26.9975</v>
      </c>
      <c r="C229" s="5"/>
      <c r="D229" s="5"/>
      <c r="E229" s="5"/>
      <c r="F229" s="5"/>
      <c r="G229" s="5"/>
      <c r="H229" s="5"/>
      <c r="I229" s="6">
        <f t="shared" si="35"/>
        <v>0.0008112229567307692</v>
      </c>
      <c r="J229" s="6">
        <f t="shared" si="36"/>
      </c>
      <c r="K229" s="6">
        <f t="shared" si="36"/>
      </c>
      <c r="L229" s="6">
        <f t="shared" si="36"/>
      </c>
      <c r="M229" s="6">
        <f t="shared" si="36"/>
      </c>
      <c r="N229" s="6">
        <f t="shared" si="36"/>
      </c>
      <c r="O229" s="6">
        <f t="shared" si="36"/>
      </c>
      <c r="P229" s="6">
        <f>100*(I229-I228)/($A229-$A228)</f>
        <v>0.045064603365384606</v>
      </c>
    </row>
    <row r="230" spans="1:16" ht="12.75">
      <c r="A230" s="2">
        <v>13</v>
      </c>
      <c r="B230" s="4">
        <f t="shared" si="37"/>
        <v>67.45500000000001</v>
      </c>
      <c r="C230" s="4">
        <f aca="true" t="shared" si="38" ref="C230:C238">AVERAGE(C202,C168)</f>
        <v>6.564500000000001</v>
      </c>
      <c r="D230" s="4"/>
      <c r="E230" s="4">
        <f aca="true" t="shared" si="39" ref="E230:F233">AVERAGE(E202,E168)</f>
        <v>5.02825</v>
      </c>
      <c r="F230" s="4">
        <f t="shared" si="39"/>
        <v>0.35935</v>
      </c>
      <c r="G230" s="4"/>
      <c r="H230" s="4"/>
      <c r="I230" s="2">
        <f t="shared" si="35"/>
        <v>0.0020268930288461543</v>
      </c>
      <c r="J230" s="2">
        <f t="shared" si="36"/>
        <v>0.01456997003662191</v>
      </c>
      <c r="K230" s="2">
        <f t="shared" si="36"/>
      </c>
      <c r="L230" s="2">
        <f t="shared" si="36"/>
        <v>0.0031604336895034568</v>
      </c>
      <c r="M230" s="2">
        <f t="shared" si="36"/>
        <v>0.0018662685016878732</v>
      </c>
      <c r="N230" s="2">
        <f t="shared" si="36"/>
      </c>
      <c r="O230" s="2">
        <f t="shared" si="36"/>
      </c>
      <c r="P230" s="2">
        <f aca="true" t="shared" si="40" ref="P230:V250">100*(I230-I229)/($A230-$A229)</f>
        <v>0.12156700721153851</v>
      </c>
    </row>
    <row r="231" spans="1:20" ht="12.75">
      <c r="A231" s="2">
        <v>14</v>
      </c>
      <c r="B231" s="4">
        <f t="shared" si="37"/>
        <v>203.25</v>
      </c>
      <c r="C231" s="4">
        <f t="shared" si="38"/>
        <v>16.305</v>
      </c>
      <c r="D231" s="4">
        <f aca="true" t="shared" si="41" ref="D231:D238">AVERAGE(D203,D169)</f>
        <v>0.26149999999999995</v>
      </c>
      <c r="E231" s="4">
        <f t="shared" si="39"/>
        <v>20.47</v>
      </c>
      <c r="F231" s="4">
        <f t="shared" si="39"/>
        <v>2.6849999999999996</v>
      </c>
      <c r="G231" s="4"/>
      <c r="H231" s="4"/>
      <c r="I231" s="2">
        <f t="shared" si="35"/>
        <v>0.006107271634615385</v>
      </c>
      <c r="J231" s="2">
        <f t="shared" si="36"/>
        <v>0.03618910220841194</v>
      </c>
      <c r="K231" s="2">
        <f t="shared" si="36"/>
        <v>0.0010159285159285158</v>
      </c>
      <c r="L231" s="2">
        <f t="shared" si="36"/>
        <v>0.012866121935889378</v>
      </c>
      <c r="M231" s="2">
        <f t="shared" si="36"/>
        <v>0.013944430018177094</v>
      </c>
      <c r="N231" s="2">
        <f t="shared" si="36"/>
      </c>
      <c r="O231" s="2">
        <f t="shared" si="36"/>
      </c>
      <c r="P231" s="2">
        <f t="shared" si="40"/>
        <v>0.4080378605769231</v>
      </c>
      <c r="Q231" s="2">
        <f t="shared" si="40"/>
        <v>2.1619132171790034</v>
      </c>
      <c r="S231" s="2">
        <f t="shared" si="40"/>
        <v>0.9705688246385921</v>
      </c>
      <c r="T231" s="2">
        <f t="shared" si="40"/>
        <v>1.207816151648922</v>
      </c>
    </row>
    <row r="232" spans="1:20" ht="12.75">
      <c r="A232" s="2">
        <v>15</v>
      </c>
      <c r="B232" s="4">
        <f t="shared" si="37"/>
        <v>505.04999999999995</v>
      </c>
      <c r="C232" s="4">
        <f t="shared" si="38"/>
        <v>36.43</v>
      </c>
      <c r="D232" s="4">
        <f t="shared" si="41"/>
        <v>0.8739874999999999</v>
      </c>
      <c r="E232" s="4">
        <f t="shared" si="39"/>
        <v>36.65</v>
      </c>
      <c r="F232" s="4">
        <f t="shared" si="39"/>
        <v>9.593</v>
      </c>
      <c r="G232" s="4">
        <f>AVERAGE(G204,G170)</f>
        <v>0.37055</v>
      </c>
      <c r="H232" s="4">
        <f>AVERAGE(H204,H170)</f>
        <v>0.2935</v>
      </c>
      <c r="I232" s="2">
        <f t="shared" si="35"/>
        <v>0.01517578125</v>
      </c>
      <c r="J232" s="2">
        <f t="shared" si="36"/>
        <v>0.0808567306625236</v>
      </c>
      <c r="K232" s="2">
        <f t="shared" si="36"/>
        <v>0.003395444832944833</v>
      </c>
      <c r="L232" s="2">
        <f t="shared" si="36"/>
        <v>0.023035826524198617</v>
      </c>
      <c r="M232" s="2">
        <f t="shared" si="36"/>
        <v>0.04982082575954297</v>
      </c>
      <c r="N232" s="2">
        <f t="shared" si="36"/>
        <v>0.0028747090768037236</v>
      </c>
      <c r="O232" s="2">
        <f t="shared" si="36"/>
        <v>0.00502482451634994</v>
      </c>
      <c r="P232" s="2">
        <f t="shared" si="40"/>
        <v>0.9068509615384613</v>
      </c>
      <c r="Q232" s="2">
        <f t="shared" si="40"/>
        <v>4.466762845411165</v>
      </c>
      <c r="R232" s="2">
        <f t="shared" si="40"/>
        <v>0.23795163170163172</v>
      </c>
      <c r="S232" s="2">
        <f t="shared" si="40"/>
        <v>1.016970458830924</v>
      </c>
      <c r="T232" s="2">
        <f t="shared" si="40"/>
        <v>3.587639574136588</v>
      </c>
    </row>
    <row r="233" spans="1:22" ht="12.75">
      <c r="A233" s="2">
        <v>16</v>
      </c>
      <c r="B233" s="4">
        <f t="shared" si="37"/>
        <v>837.35</v>
      </c>
      <c r="C233" s="4">
        <f t="shared" si="38"/>
        <v>46.965</v>
      </c>
      <c r="D233" s="4">
        <f t="shared" si="41"/>
        <v>1.9260000000000002</v>
      </c>
      <c r="E233" s="4">
        <f t="shared" si="39"/>
        <v>63.8525</v>
      </c>
      <c r="F233" s="4">
        <f t="shared" si="39"/>
        <v>26.6</v>
      </c>
      <c r="G233" s="4">
        <f>AVERAGE(G205,G171)</f>
        <v>0.9101999999999999</v>
      </c>
      <c r="H233" s="4">
        <f>AVERAGE(H205,H171)</f>
        <v>0.73895</v>
      </c>
      <c r="I233" s="2">
        <f t="shared" si="35"/>
        <v>0.025160757211538463</v>
      </c>
      <c r="J233" s="2">
        <f t="shared" si="36"/>
        <v>0.10423926312284987</v>
      </c>
      <c r="K233" s="2">
        <f t="shared" si="36"/>
        <v>0.007482517482517484</v>
      </c>
      <c r="L233" s="2">
        <f t="shared" si="36"/>
        <v>0.04013356379635449</v>
      </c>
      <c r="M233" s="2">
        <f t="shared" si="36"/>
        <v>0.13814593612048817</v>
      </c>
      <c r="N233" s="2">
        <f t="shared" si="36"/>
        <v>0.007061287820015515</v>
      </c>
      <c r="O233" s="2">
        <f t="shared" si="36"/>
        <v>0.012651087142612568</v>
      </c>
      <c r="P233" s="2">
        <f t="shared" si="40"/>
        <v>0.9984975961538464</v>
      </c>
      <c r="Q233" s="2">
        <f t="shared" si="40"/>
        <v>2.3382532460326275</v>
      </c>
      <c r="R233" s="2">
        <f t="shared" si="40"/>
        <v>0.40870726495726506</v>
      </c>
      <c r="S233" s="2">
        <f t="shared" si="40"/>
        <v>1.7097737272155875</v>
      </c>
      <c r="T233" s="2">
        <f t="shared" si="40"/>
        <v>8.83251103609452</v>
      </c>
      <c r="U233" s="2">
        <f t="shared" si="40"/>
        <v>0.4186578743211791</v>
      </c>
      <c r="V233" s="2">
        <f t="shared" si="40"/>
        <v>0.7626262626262628</v>
      </c>
    </row>
    <row r="234" spans="1:20" ht="12.75">
      <c r="A234" s="2">
        <v>17</v>
      </c>
      <c r="B234" s="4">
        <f t="shared" si="37"/>
        <v>1122</v>
      </c>
      <c r="C234" s="4">
        <f t="shared" si="38"/>
        <v>58.495000000000005</v>
      </c>
      <c r="D234" s="4">
        <f t="shared" si="41"/>
        <v>2.259</v>
      </c>
      <c r="E234" s="4"/>
      <c r="F234" s="4">
        <f>AVERAGE(F206,F172)</f>
        <v>28.24</v>
      </c>
      <c r="G234" s="4"/>
      <c r="H234" s="4"/>
      <c r="I234" s="2">
        <f t="shared" si="35"/>
        <v>0.033713942307692306</v>
      </c>
      <c r="J234" s="2">
        <f t="shared" si="36"/>
        <v>0.12983020752413718</v>
      </c>
      <c r="K234" s="2">
        <f t="shared" si="36"/>
        <v>0.008776223776223776</v>
      </c>
      <c r="L234" s="2">
        <f t="shared" si="36"/>
      </c>
      <c r="M234" s="2">
        <f t="shared" si="36"/>
        <v>0.14666320436250324</v>
      </c>
      <c r="N234" s="2">
        <f t="shared" si="36"/>
      </c>
      <c r="O234" s="2">
        <f t="shared" si="36"/>
      </c>
      <c r="P234" s="2">
        <f t="shared" si="40"/>
        <v>0.8553185096153844</v>
      </c>
      <c r="Q234" s="2">
        <f t="shared" si="40"/>
        <v>2.559094440128731</v>
      </c>
      <c r="R234" s="2">
        <f t="shared" si="40"/>
        <v>0.12937062937062924</v>
      </c>
      <c r="T234" s="2">
        <f t="shared" si="40"/>
        <v>0.8517268242015069</v>
      </c>
    </row>
    <row r="235" spans="1:22" ht="12.75">
      <c r="A235" s="2">
        <v>18</v>
      </c>
      <c r="B235" s="4">
        <f t="shared" si="37"/>
        <v>1465</v>
      </c>
      <c r="C235" s="4">
        <f t="shared" si="38"/>
        <v>73.94999999999999</v>
      </c>
      <c r="D235" s="4">
        <f t="shared" si="41"/>
        <v>3.689</v>
      </c>
      <c r="E235" s="4">
        <f>AVERAGE(E207,E173)</f>
        <v>95.0325</v>
      </c>
      <c r="F235" s="4">
        <f>AVERAGE(F207,F173)</f>
        <v>32.31</v>
      </c>
      <c r="G235" s="4"/>
      <c r="H235" s="4">
        <f>AVERAGE(H207,H173)</f>
        <v>4.064</v>
      </c>
      <c r="I235" s="2">
        <f t="shared" si="35"/>
        <v>0.044020432692307696</v>
      </c>
      <c r="J235" s="2">
        <f t="shared" si="36"/>
        <v>0.1641327266674065</v>
      </c>
      <c r="K235" s="2">
        <f t="shared" si="36"/>
        <v>0.014331779331779333</v>
      </c>
      <c r="L235" s="2">
        <f t="shared" si="36"/>
        <v>0.05973130106851037</v>
      </c>
      <c r="M235" s="2">
        <f t="shared" si="36"/>
        <v>0.16780057128018697</v>
      </c>
      <c r="N235" s="2">
        <f t="shared" si="36"/>
      </c>
      <c r="O235" s="2">
        <f t="shared" si="36"/>
        <v>0.06957712720424586</v>
      </c>
      <c r="P235" s="2">
        <f t="shared" si="40"/>
        <v>1.030649038461539</v>
      </c>
      <c r="Q235" s="2">
        <f t="shared" si="40"/>
        <v>3.4302519143269317</v>
      </c>
      <c r="R235" s="2">
        <f t="shared" si="40"/>
        <v>0.5555555555555557</v>
      </c>
      <c r="S235" s="2">
        <f>100*(L235-L233)/($A235-$A233)</f>
        <v>0.9798868636077939</v>
      </c>
      <c r="T235" s="2">
        <f t="shared" si="40"/>
        <v>2.1137366917683726</v>
      </c>
      <c r="V235" s="2">
        <f>100*(O235-O233)/($A235-$A233)</f>
        <v>2.846302003081665</v>
      </c>
    </row>
    <row r="236" spans="1:22" ht="12.75">
      <c r="A236" s="2">
        <v>19</v>
      </c>
      <c r="B236" s="4">
        <f t="shared" si="37"/>
        <v>1623.5</v>
      </c>
      <c r="C236" s="4">
        <f t="shared" si="38"/>
        <v>79.31</v>
      </c>
      <c r="D236" s="4">
        <f t="shared" si="41"/>
        <v>3.538</v>
      </c>
      <c r="E236" s="4">
        <f>AVERAGE(E208,E174)</f>
        <v>97.47</v>
      </c>
      <c r="F236" s="4">
        <f>AVERAGE(F208,F174)</f>
        <v>34.715</v>
      </c>
      <c r="G236" s="4"/>
      <c r="H236" s="4">
        <f>AVERAGE(H208,H174)</f>
        <v>4.223</v>
      </c>
      <c r="I236" s="2">
        <f t="shared" si="35"/>
        <v>0.04878305288461538</v>
      </c>
      <c r="J236" s="2">
        <f t="shared" si="36"/>
        <v>0.17602929752524693</v>
      </c>
      <c r="K236" s="2">
        <f t="shared" si="36"/>
        <v>0.013745143745143745</v>
      </c>
      <c r="L236" s="2">
        <f t="shared" si="36"/>
        <v>0.061263356379635446</v>
      </c>
      <c r="M236" s="2">
        <f t="shared" si="36"/>
        <v>0.18029083354972736</v>
      </c>
      <c r="N236" s="2">
        <f t="shared" si="36"/>
      </c>
      <c r="O236" s="2">
        <f t="shared" si="36"/>
        <v>0.07229926382468756</v>
      </c>
      <c r="P236" s="2">
        <f t="shared" si="40"/>
        <v>0.4762620192307686</v>
      </c>
      <c r="Q236" s="2">
        <f t="shared" si="40"/>
        <v>1.1896570857840434</v>
      </c>
      <c r="R236" s="2">
        <f t="shared" si="40"/>
        <v>-0.05866355866355876</v>
      </c>
      <c r="S236" s="2">
        <f t="shared" si="40"/>
        <v>0.15320553111250745</v>
      </c>
      <c r="T236" s="2">
        <f t="shared" si="40"/>
        <v>1.2490262269540393</v>
      </c>
      <c r="V236" s="2">
        <f t="shared" si="40"/>
        <v>0.2722136620441698</v>
      </c>
    </row>
    <row r="237" spans="1:21" s="6" customFormat="1" ht="12.75">
      <c r="A237" s="6">
        <v>20</v>
      </c>
      <c r="B237" s="5">
        <f t="shared" si="37"/>
        <v>1647</v>
      </c>
      <c r="C237" s="5">
        <f t="shared" si="38"/>
        <v>103.52000000000001</v>
      </c>
      <c r="D237" s="5">
        <f t="shared" si="41"/>
        <v>4.226</v>
      </c>
      <c r="E237" s="5"/>
      <c r="F237" s="5">
        <f>AVERAGE(F209,F175)</f>
        <v>35.915000000000006</v>
      </c>
      <c r="G237" s="5">
        <f>AVERAGE(G209,G175)</f>
        <v>4.1185</v>
      </c>
      <c r="H237" s="5"/>
      <c r="I237" s="6">
        <f t="shared" si="35"/>
        <v>0.04948918269230769</v>
      </c>
      <c r="J237" s="6">
        <f t="shared" si="36"/>
        <v>0.22976362223948513</v>
      </c>
      <c r="K237" s="6">
        <f t="shared" si="36"/>
        <v>0.016418026418026418</v>
      </c>
      <c r="L237" s="6">
        <f t="shared" si="36"/>
      </c>
      <c r="M237" s="6">
        <f t="shared" si="36"/>
        <v>0.18652298104388473</v>
      </c>
      <c r="N237" s="6">
        <f t="shared" si="36"/>
        <v>0.0319511249030256</v>
      </c>
      <c r="O237" s="6">
        <f t="shared" si="36"/>
      </c>
      <c r="P237" s="6">
        <f t="shared" si="40"/>
        <v>0.07061298076923087</v>
      </c>
      <c r="Q237" s="6">
        <f t="shared" si="40"/>
        <v>5.373432471423819</v>
      </c>
      <c r="R237" s="6">
        <f t="shared" si="40"/>
        <v>0.26728826728826727</v>
      </c>
      <c r="T237" s="6">
        <f t="shared" si="40"/>
        <v>0.6232147494157375</v>
      </c>
      <c r="U237" s="6">
        <f>100*(N237-N233)/($A237-$A233)</f>
        <v>0.6222459270752523</v>
      </c>
    </row>
    <row r="238" spans="1:22" ht="12.75">
      <c r="A238" s="2">
        <v>21</v>
      </c>
      <c r="B238" s="4">
        <f t="shared" si="37"/>
        <v>1985</v>
      </c>
      <c r="C238" s="4">
        <f t="shared" si="38"/>
        <v>123.5</v>
      </c>
      <c r="D238" s="4">
        <f t="shared" si="41"/>
        <v>12.135</v>
      </c>
      <c r="E238" s="4">
        <f>AVERAGE(E210,E176)</f>
        <v>74.86</v>
      </c>
      <c r="F238" s="4">
        <f>AVERAGE(F210,F176)</f>
        <v>40.5025</v>
      </c>
      <c r="G238" s="4"/>
      <c r="H238" s="4">
        <f>AVERAGE(H210,H176)</f>
        <v>8.549</v>
      </c>
      <c r="I238" s="2">
        <f t="shared" si="35"/>
        <v>0.059645432692307696</v>
      </c>
      <c r="J238" s="2">
        <f t="shared" si="36"/>
        <v>0.2741094218177783</v>
      </c>
      <c r="K238" s="2">
        <f t="shared" si="36"/>
        <v>0.047144522144522145</v>
      </c>
      <c r="L238" s="2">
        <f t="shared" si="36"/>
        <v>0.047052168447517285</v>
      </c>
      <c r="M238" s="2">
        <f t="shared" si="36"/>
        <v>0.21034796156842375</v>
      </c>
      <c r="N238" s="2">
        <f t="shared" si="36"/>
      </c>
      <c r="O238" s="2">
        <f t="shared" si="36"/>
        <v>0.14636192432802603</v>
      </c>
      <c r="P238" s="2">
        <f t="shared" si="40"/>
        <v>1.0156250000000004</v>
      </c>
      <c r="Q238" s="2">
        <f t="shared" si="40"/>
        <v>4.434579957829318</v>
      </c>
      <c r="R238" s="2">
        <f t="shared" si="40"/>
        <v>3.072649572649573</v>
      </c>
      <c r="S238" s="2">
        <f>100*(L238-L236)/($A238-$A236)</f>
        <v>-0.7105593966059081</v>
      </c>
      <c r="T238" s="2">
        <f t="shared" si="40"/>
        <v>2.3824980524539017</v>
      </c>
      <c r="V238" s="2">
        <f>100*(O238-O236)/($A238-$A236)</f>
        <v>3.7031330251669234</v>
      </c>
    </row>
    <row r="239" spans="1:22" ht="12.75">
      <c r="A239" s="2">
        <v>23</v>
      </c>
      <c r="B239" s="4">
        <f aca="true" t="shared" si="42" ref="B239:H239">AVERAGE(B178,B211)</f>
        <v>2563</v>
      </c>
      <c r="C239" s="4">
        <f t="shared" si="42"/>
        <v>164.7</v>
      </c>
      <c r="D239" s="4">
        <f t="shared" si="42"/>
        <v>14.7</v>
      </c>
      <c r="E239" s="4">
        <f t="shared" si="42"/>
        <v>95.23</v>
      </c>
      <c r="F239" s="4">
        <f t="shared" si="42"/>
        <v>65.695</v>
      </c>
      <c r="G239" s="4">
        <f t="shared" si="42"/>
        <v>10.89</v>
      </c>
      <c r="H239" s="4">
        <f t="shared" si="42"/>
        <v>10.79</v>
      </c>
      <c r="I239" s="2">
        <f t="shared" si="35"/>
        <v>0.07701322115384615</v>
      </c>
      <c r="J239" s="2">
        <f t="shared" si="36"/>
        <v>0.3655532127399845</v>
      </c>
      <c r="K239" s="2">
        <f t="shared" si="36"/>
        <v>0.05710955710955711</v>
      </c>
      <c r="L239" s="2">
        <f t="shared" si="36"/>
        <v>0.05985543683218102</v>
      </c>
      <c r="M239" s="2">
        <f t="shared" si="36"/>
        <v>0.3411841080238898</v>
      </c>
      <c r="N239" s="2">
        <f t="shared" si="36"/>
        <v>0.08448409619860357</v>
      </c>
      <c r="O239" s="2">
        <f t="shared" si="36"/>
        <v>0.184728642355761</v>
      </c>
      <c r="P239" s="2">
        <f t="shared" si="40"/>
        <v>0.8683894230769228</v>
      </c>
      <c r="Q239" s="2">
        <f t="shared" si="40"/>
        <v>4.572189546110309</v>
      </c>
      <c r="R239" s="2">
        <f t="shared" si="40"/>
        <v>0.49825174825174834</v>
      </c>
      <c r="S239" s="2">
        <f t="shared" si="40"/>
        <v>0.6401634192331869</v>
      </c>
      <c r="T239" s="2">
        <f t="shared" si="40"/>
        <v>6.541807322773304</v>
      </c>
      <c r="U239" s="2">
        <f>100*(N239-N237)/($A239-$A237)</f>
        <v>1.7510990431859323</v>
      </c>
      <c r="V239" s="2">
        <f t="shared" si="40"/>
        <v>1.9183359013867487</v>
      </c>
    </row>
    <row r="240" spans="1:22" ht="12.75">
      <c r="A240" s="2">
        <v>26</v>
      </c>
      <c r="B240" s="4">
        <f aca="true" t="shared" si="43" ref="B240:F244">AVERAGE(B179,B212)</f>
        <v>4416</v>
      </c>
      <c r="C240" s="4">
        <f t="shared" si="43"/>
        <v>220.2</v>
      </c>
      <c r="D240" s="4">
        <f t="shared" si="43"/>
        <v>25.16</v>
      </c>
      <c r="E240" s="4">
        <f t="shared" si="43"/>
        <v>129.4</v>
      </c>
      <c r="F240" s="4">
        <f t="shared" si="43"/>
        <v>96.465</v>
      </c>
      <c r="G240" s="4"/>
      <c r="H240" s="4">
        <f>AVERAGE(H179,H212)</f>
        <v>24.59</v>
      </c>
      <c r="I240" s="2">
        <f t="shared" si="35"/>
        <v>0.1326923076923077</v>
      </c>
      <c r="J240" s="2">
        <f t="shared" si="36"/>
        <v>0.4887359893463545</v>
      </c>
      <c r="K240" s="2">
        <f t="shared" si="36"/>
        <v>0.09774669774669775</v>
      </c>
      <c r="L240" s="2">
        <f t="shared" si="36"/>
        <v>0.08133249528598366</v>
      </c>
      <c r="M240" s="2">
        <f t="shared" si="36"/>
        <v>0.5009867566865749</v>
      </c>
      <c r="N240" s="2">
        <f t="shared" si="36"/>
      </c>
      <c r="O240" s="2">
        <f t="shared" si="36"/>
        <v>0.4209895565827769</v>
      </c>
      <c r="P240" s="2">
        <f t="shared" si="40"/>
        <v>1.8559695512820513</v>
      </c>
      <c r="Q240" s="2">
        <f t="shared" si="40"/>
        <v>4.106092553545667</v>
      </c>
      <c r="R240" s="2">
        <f t="shared" si="40"/>
        <v>1.3545713545713547</v>
      </c>
      <c r="S240" s="2">
        <f t="shared" si="40"/>
        <v>0.7159019484600878</v>
      </c>
      <c r="T240" s="2">
        <f t="shared" si="40"/>
        <v>5.326754955422835</v>
      </c>
      <c r="V240" s="2">
        <f t="shared" si="40"/>
        <v>7.875363807567197</v>
      </c>
    </row>
    <row r="241" spans="1:22" ht="12.75">
      <c r="A241" s="2">
        <v>27</v>
      </c>
      <c r="B241" s="4">
        <f t="shared" si="43"/>
        <v>5245.5</v>
      </c>
      <c r="C241" s="4">
        <f t="shared" si="43"/>
        <v>320.1</v>
      </c>
      <c r="D241" s="4">
        <f t="shared" si="43"/>
        <v>44.34</v>
      </c>
      <c r="E241" s="4">
        <f t="shared" si="43"/>
        <v>160.5</v>
      </c>
      <c r="F241" s="4">
        <f t="shared" si="43"/>
        <v>89.16</v>
      </c>
      <c r="G241" s="4">
        <f>AVERAGE(G180,G213)</f>
        <v>34.46</v>
      </c>
      <c r="H241" s="4">
        <f>AVERAGE(H180,H213)</f>
        <v>24.12</v>
      </c>
      <c r="I241" s="2">
        <f t="shared" si="35"/>
        <v>0.1576171875</v>
      </c>
      <c r="J241" s="2">
        <f t="shared" si="36"/>
        <v>0.7104649872378206</v>
      </c>
      <c r="K241" s="2">
        <f t="shared" si="36"/>
        <v>0.1722610722610723</v>
      </c>
      <c r="L241" s="2">
        <f t="shared" si="36"/>
        <v>0.10087994971715902</v>
      </c>
      <c r="M241" s="2">
        <f t="shared" si="36"/>
        <v>0.4630485588158919</v>
      </c>
      <c r="N241" s="2">
        <f t="shared" si="36"/>
        <v>0.2673390224980605</v>
      </c>
      <c r="O241" s="2">
        <f t="shared" si="36"/>
        <v>0.4129429892141757</v>
      </c>
      <c r="P241" s="2">
        <f t="shared" si="40"/>
        <v>2.4924879807692313</v>
      </c>
      <c r="Q241" s="2">
        <f t="shared" si="40"/>
        <v>22.172899789146612</v>
      </c>
      <c r="R241" s="2">
        <f t="shared" si="40"/>
        <v>7.451437451437454</v>
      </c>
      <c r="S241" s="2">
        <f t="shared" si="40"/>
        <v>1.9547454431175364</v>
      </c>
      <c r="T241" s="2">
        <f t="shared" si="40"/>
        <v>-3.7938197870682977</v>
      </c>
      <c r="U241" s="2">
        <f>100*(N241-N239)/($A241-$A239)</f>
        <v>4.571373157486423</v>
      </c>
      <c r="V241" s="2">
        <f t="shared" si="40"/>
        <v>-0.804656736860121</v>
      </c>
    </row>
    <row r="242" spans="1:22" ht="12.75">
      <c r="A242" s="2">
        <v>34</v>
      </c>
      <c r="B242" s="4">
        <f t="shared" si="43"/>
        <v>7769</v>
      </c>
      <c r="C242" s="4">
        <f t="shared" si="43"/>
        <v>397.5</v>
      </c>
      <c r="D242" s="4">
        <f t="shared" si="43"/>
        <v>66.32499999999999</v>
      </c>
      <c r="E242" s="4">
        <f t="shared" si="43"/>
        <v>334.4</v>
      </c>
      <c r="F242" s="4">
        <f t="shared" si="43"/>
        <v>116.44999999999999</v>
      </c>
      <c r="G242" s="4">
        <f>AVERAGE(G181,G214)</f>
        <v>64.11500000000001</v>
      </c>
      <c r="H242" s="4">
        <f>AVERAGE(H181,H214)</f>
        <v>48.1</v>
      </c>
      <c r="I242" s="2">
        <f t="shared" si="35"/>
        <v>0.23344350961538463</v>
      </c>
      <c r="J242" s="2">
        <f t="shared" si="36"/>
        <v>0.8822550216402176</v>
      </c>
      <c r="K242" s="2">
        <f t="shared" si="36"/>
        <v>0.25767288267288263</v>
      </c>
      <c r="L242" s="2">
        <f t="shared" si="36"/>
        <v>0.21018227529855435</v>
      </c>
      <c r="M242" s="2">
        <f t="shared" si="36"/>
        <v>0.6047779797455205</v>
      </c>
      <c r="N242" s="2">
        <f t="shared" si="36"/>
        <v>0.49740108611326617</v>
      </c>
      <c r="O242" s="2">
        <f t="shared" si="36"/>
        <v>0.8234891285738745</v>
      </c>
      <c r="P242" s="2">
        <f t="shared" si="40"/>
        <v>1.0832331730769231</v>
      </c>
      <c r="Q242" s="2">
        <f t="shared" si="40"/>
        <v>2.454143348605672</v>
      </c>
      <c r="R242" s="2">
        <f t="shared" si="40"/>
        <v>1.220168720168719</v>
      </c>
      <c r="S242" s="2">
        <f t="shared" si="40"/>
        <v>1.5614617940199333</v>
      </c>
      <c r="T242" s="2">
        <f t="shared" si="40"/>
        <v>2.0247060132804084</v>
      </c>
      <c r="U242" s="2">
        <f t="shared" si="40"/>
        <v>3.2866009087886523</v>
      </c>
      <c r="V242" s="2">
        <f t="shared" si="40"/>
        <v>5.864944847995696</v>
      </c>
    </row>
    <row r="243" spans="1:22" s="6" customFormat="1" ht="12.75">
      <c r="A243" s="6">
        <v>41</v>
      </c>
      <c r="B243" s="5">
        <f t="shared" si="43"/>
        <v>12075</v>
      </c>
      <c r="C243" s="5">
        <f t="shared" si="43"/>
        <v>389.75</v>
      </c>
      <c r="D243" s="5">
        <f t="shared" si="43"/>
        <v>91.695</v>
      </c>
      <c r="E243" s="5">
        <f t="shared" si="43"/>
        <v>531.25</v>
      </c>
      <c r="F243" s="5">
        <f t="shared" si="43"/>
        <v>125.15</v>
      </c>
      <c r="G243" s="5">
        <f>AVERAGE(G182,G215)</f>
        <v>102.95</v>
      </c>
      <c r="H243" s="5">
        <f>AVERAGE(H182,H215)</f>
        <v>60.715</v>
      </c>
      <c r="I243" s="6">
        <f t="shared" si="35"/>
        <v>0.36283052884615385</v>
      </c>
      <c r="J243" s="6">
        <f t="shared" si="36"/>
        <v>0.8650538231050938</v>
      </c>
      <c r="K243" s="6">
        <f t="shared" si="36"/>
        <v>0.3562354312354312</v>
      </c>
      <c r="L243" s="6">
        <f t="shared" si="36"/>
        <v>0.33390949088623506</v>
      </c>
      <c r="M243" s="6">
        <f t="shared" si="36"/>
        <v>0.6499610490781615</v>
      </c>
      <c r="N243" s="6">
        <f t="shared" si="36"/>
        <v>0.7986811481768813</v>
      </c>
      <c r="O243" s="6">
        <f t="shared" si="36"/>
        <v>1.0394624208183532</v>
      </c>
      <c r="P243" s="6">
        <f t="shared" si="40"/>
        <v>1.848385989010989</v>
      </c>
      <c r="Q243" s="6">
        <f t="shared" si="40"/>
        <v>-0.2457314076446258</v>
      </c>
      <c r="R243" s="6">
        <f t="shared" si="40"/>
        <v>1.4080364080364085</v>
      </c>
      <c r="S243" s="6">
        <f t="shared" si="40"/>
        <v>1.7675316512525814</v>
      </c>
      <c r="T243" s="6">
        <f t="shared" si="40"/>
        <v>0.6454724190377293</v>
      </c>
      <c r="U243" s="6">
        <f t="shared" si="40"/>
        <v>4.304000886623073</v>
      </c>
      <c r="V243" s="6">
        <f t="shared" si="40"/>
        <v>3.0853327463496956</v>
      </c>
    </row>
    <row r="244" spans="1:22" ht="12.75">
      <c r="A244" s="2">
        <v>48</v>
      </c>
      <c r="B244" s="4">
        <f t="shared" si="43"/>
        <v>16855</v>
      </c>
      <c r="C244" s="4">
        <f t="shared" si="43"/>
        <v>438.55</v>
      </c>
      <c r="D244" s="4">
        <f t="shared" si="43"/>
        <v>133.35</v>
      </c>
      <c r="E244" s="4">
        <f t="shared" si="43"/>
        <v>854.5</v>
      </c>
      <c r="F244" s="4">
        <f t="shared" si="43"/>
        <v>150.85000000000002</v>
      </c>
      <c r="G244" s="4">
        <f>AVERAGE(G183,G216)</f>
        <v>117.905</v>
      </c>
      <c r="H244" s="4">
        <f>AVERAGE(H183,H216)</f>
        <v>103.975</v>
      </c>
      <c r="I244" s="2">
        <f t="shared" si="35"/>
        <v>0.5064603365384616</v>
      </c>
      <c r="J244" s="2">
        <f aca="true" t="shared" si="44" ref="J244:O250">IF(C244="","",C244/C$250)</f>
        <v>0.9733658861391634</v>
      </c>
      <c r="K244" s="2">
        <f t="shared" si="44"/>
        <v>0.5180652680652681</v>
      </c>
      <c r="L244" s="2">
        <f t="shared" si="44"/>
        <v>0.5370835952231301</v>
      </c>
      <c r="M244" s="2">
        <f t="shared" si="44"/>
        <v>0.7834328745780318</v>
      </c>
      <c r="N244" s="2">
        <f t="shared" si="44"/>
        <v>0.914701318851823</v>
      </c>
      <c r="O244" s="2">
        <f t="shared" si="44"/>
        <v>1.7800890258517377</v>
      </c>
      <c r="P244" s="2">
        <f t="shared" si="40"/>
        <v>2.0518543956043955</v>
      </c>
      <c r="Q244" s="2">
        <f t="shared" si="40"/>
        <v>1.5473151862009942</v>
      </c>
      <c r="R244" s="2">
        <f t="shared" si="40"/>
        <v>2.311854811854812</v>
      </c>
      <c r="S244" s="2">
        <f t="shared" si="40"/>
        <v>2.902487204812786</v>
      </c>
      <c r="T244" s="2">
        <f t="shared" si="40"/>
        <v>1.9067403642838607</v>
      </c>
      <c r="U244" s="2">
        <f t="shared" si="40"/>
        <v>1.6574310096420248</v>
      </c>
      <c r="V244" s="2">
        <f t="shared" si="40"/>
        <v>10.580380071905493</v>
      </c>
    </row>
    <row r="245" spans="1:22" ht="12.75">
      <c r="A245" s="2">
        <v>55</v>
      </c>
      <c r="B245" s="4">
        <f aca="true" t="shared" si="45" ref="B245:H246">AVERAGE(B184,B218)</f>
        <v>24960</v>
      </c>
      <c r="C245" s="4">
        <f t="shared" si="45"/>
        <v>426.3</v>
      </c>
      <c r="D245" s="4">
        <f t="shared" si="45"/>
        <v>186.05</v>
      </c>
      <c r="E245" s="4">
        <f t="shared" si="45"/>
        <v>1465.5</v>
      </c>
      <c r="F245" s="4">
        <f t="shared" si="45"/>
        <v>171.8</v>
      </c>
      <c r="G245" s="4">
        <f t="shared" si="45"/>
        <v>147.65</v>
      </c>
      <c r="H245" s="4">
        <f t="shared" si="45"/>
        <v>106.99000000000001</v>
      </c>
      <c r="I245" s="2">
        <f t="shared" si="35"/>
        <v>0.75</v>
      </c>
      <c r="J245" s="2">
        <f t="shared" si="44"/>
        <v>0.9461768949062258</v>
      </c>
      <c r="K245" s="2">
        <f t="shared" si="44"/>
        <v>0.7228049728049729</v>
      </c>
      <c r="L245" s="2">
        <f t="shared" si="44"/>
        <v>0.9211187932118164</v>
      </c>
      <c r="M245" s="2">
        <f t="shared" si="44"/>
        <v>0.892235782913529</v>
      </c>
      <c r="N245" s="2">
        <f t="shared" si="44"/>
        <v>1.1454615981380916</v>
      </c>
      <c r="O245" s="2">
        <f t="shared" si="44"/>
        <v>1.83170689950351</v>
      </c>
      <c r="P245" s="2">
        <f t="shared" si="40"/>
        <v>3.479138049450549</v>
      </c>
      <c r="Q245" s="2">
        <f t="shared" si="40"/>
        <v>-0.3884141604705373</v>
      </c>
      <c r="R245" s="2">
        <f t="shared" si="40"/>
        <v>2.924852924852926</v>
      </c>
      <c r="S245" s="2">
        <f t="shared" si="40"/>
        <v>5.4862171141240905</v>
      </c>
      <c r="T245" s="2">
        <f t="shared" si="40"/>
        <v>1.5543272619356745</v>
      </c>
      <c r="U245" s="2">
        <f t="shared" si="40"/>
        <v>3.296575418375265</v>
      </c>
      <c r="V245" s="2">
        <f t="shared" si="40"/>
        <v>0.7373981950253183</v>
      </c>
    </row>
    <row r="246" spans="1:22" ht="12.75">
      <c r="A246" s="2">
        <v>62</v>
      </c>
      <c r="B246" s="4">
        <f t="shared" si="45"/>
        <v>27765</v>
      </c>
      <c r="C246" s="4">
        <f t="shared" si="45"/>
        <v>456.75</v>
      </c>
      <c r="D246" s="4">
        <f t="shared" si="45"/>
        <v>218.95</v>
      </c>
      <c r="E246" s="4">
        <f t="shared" si="45"/>
        <v>1658</v>
      </c>
      <c r="F246" s="4">
        <f t="shared" si="45"/>
        <v>184</v>
      </c>
      <c r="G246" s="4">
        <f t="shared" si="45"/>
        <v>139.89999999999998</v>
      </c>
      <c r="H246" s="4">
        <f t="shared" si="45"/>
        <v>88.83</v>
      </c>
      <c r="I246" s="2">
        <f t="shared" si="35"/>
        <v>0.8342848557692307</v>
      </c>
      <c r="J246" s="2">
        <f t="shared" si="44"/>
        <v>1.0137609588280991</v>
      </c>
      <c r="K246" s="2">
        <f t="shared" si="44"/>
        <v>0.8506216006216006</v>
      </c>
      <c r="L246" s="2">
        <f t="shared" si="44"/>
        <v>1.0421118793211817</v>
      </c>
      <c r="M246" s="2">
        <f t="shared" si="44"/>
        <v>0.9555959491041287</v>
      </c>
      <c r="N246" s="2">
        <f t="shared" si="44"/>
        <v>1.0853374709076802</v>
      </c>
      <c r="O246" s="2">
        <f t="shared" si="44"/>
        <v>1.5208012326656395</v>
      </c>
      <c r="P246" s="2">
        <f t="shared" si="40"/>
        <v>1.2040693681318675</v>
      </c>
      <c r="Q246" s="2">
        <f t="shared" si="40"/>
        <v>0.9654866274553332</v>
      </c>
      <c r="R246" s="2">
        <f t="shared" si="40"/>
        <v>1.8259518259518246</v>
      </c>
      <c r="S246" s="2">
        <f t="shared" si="40"/>
        <v>1.7284726587052173</v>
      </c>
      <c r="T246" s="2">
        <f t="shared" si="40"/>
        <v>0.9051452312942815</v>
      </c>
      <c r="U246" s="2">
        <f t="shared" si="40"/>
        <v>-0.8589161032915912</v>
      </c>
      <c r="V246" s="2">
        <f t="shared" si="40"/>
        <v>-4.441509526255293</v>
      </c>
    </row>
    <row r="247" spans="1:22" ht="12.75">
      <c r="A247" s="2">
        <v>69</v>
      </c>
      <c r="B247" s="4">
        <f aca="true" t="shared" si="46" ref="B247:H250">AVERAGE(B187,B220)</f>
        <v>31590</v>
      </c>
      <c r="C247" s="4">
        <f t="shared" si="46"/>
        <v>447.79999999999995</v>
      </c>
      <c r="D247" s="4">
        <f t="shared" si="46"/>
        <v>218.3</v>
      </c>
      <c r="E247" s="4">
        <f t="shared" si="46"/>
        <v>1711.5</v>
      </c>
      <c r="F247" s="4">
        <f t="shared" si="46"/>
        <v>209.4</v>
      </c>
      <c r="G247" s="4">
        <f t="shared" si="46"/>
        <v>126.5</v>
      </c>
      <c r="H247" s="4">
        <f t="shared" si="46"/>
        <v>58.3</v>
      </c>
      <c r="I247" s="2">
        <f t="shared" si="35"/>
        <v>0.94921875</v>
      </c>
      <c r="J247" s="2">
        <f t="shared" si="44"/>
        <v>0.9938963489068916</v>
      </c>
      <c r="K247" s="2">
        <f t="shared" si="44"/>
        <v>0.8480963480963483</v>
      </c>
      <c r="L247" s="2">
        <f t="shared" si="44"/>
        <v>1.0757385292269013</v>
      </c>
      <c r="M247" s="2">
        <f t="shared" si="44"/>
        <v>1.0875097377304597</v>
      </c>
      <c r="N247" s="2">
        <f t="shared" si="44"/>
        <v>0.9813809154383243</v>
      </c>
      <c r="O247" s="2">
        <f t="shared" si="44"/>
        <v>0.9981167608286252</v>
      </c>
      <c r="P247" s="2">
        <f t="shared" si="40"/>
        <v>1.6419127747252753</v>
      </c>
      <c r="Q247" s="2">
        <f t="shared" si="40"/>
        <v>-0.28378014173153615</v>
      </c>
      <c r="R247" s="2">
        <f t="shared" si="40"/>
        <v>-0.03607503607503393</v>
      </c>
      <c r="S247" s="2">
        <f t="shared" si="40"/>
        <v>0.4803807129388517</v>
      </c>
      <c r="T247" s="2">
        <f t="shared" si="40"/>
        <v>1.884482694661871</v>
      </c>
      <c r="U247" s="2">
        <f t="shared" si="40"/>
        <v>-1.4850936495622271</v>
      </c>
      <c r="V247" s="2">
        <f t="shared" si="40"/>
        <v>-7.466921026243061</v>
      </c>
    </row>
    <row r="248" spans="1:22" ht="12.75">
      <c r="A248" s="2">
        <v>76</v>
      </c>
      <c r="B248" s="4">
        <f t="shared" si="46"/>
        <v>32350</v>
      </c>
      <c r="C248" s="4">
        <f t="shared" si="46"/>
        <v>464.1</v>
      </c>
      <c r="D248" s="4">
        <f t="shared" si="46"/>
        <v>224.64999999999998</v>
      </c>
      <c r="E248" s="4">
        <f t="shared" si="46"/>
        <v>1774</v>
      </c>
      <c r="F248" s="4">
        <f t="shared" si="46"/>
        <v>200.5</v>
      </c>
      <c r="G248" s="4">
        <f t="shared" si="46"/>
        <v>130.5</v>
      </c>
      <c r="H248" s="4">
        <f t="shared" si="46"/>
        <v>62.30500000000001</v>
      </c>
      <c r="I248" s="2">
        <f t="shared" si="35"/>
        <v>0.9720552884615384</v>
      </c>
      <c r="J248" s="2">
        <f t="shared" si="44"/>
        <v>1.0300743535678616</v>
      </c>
      <c r="K248" s="2">
        <f t="shared" si="44"/>
        <v>0.8727661227661228</v>
      </c>
      <c r="L248" s="2">
        <f t="shared" si="44"/>
        <v>1.115021998742929</v>
      </c>
      <c r="M248" s="2">
        <f t="shared" si="44"/>
        <v>1.0412879771487924</v>
      </c>
      <c r="N248" s="2">
        <f t="shared" si="44"/>
        <v>1.012412723041117</v>
      </c>
      <c r="O248" s="2">
        <f t="shared" si="44"/>
        <v>1.0666837870227703</v>
      </c>
      <c r="P248" s="2">
        <f t="shared" si="40"/>
        <v>0.32623626373626335</v>
      </c>
      <c r="Q248" s="2">
        <f t="shared" si="40"/>
        <v>0.5168286380138569</v>
      </c>
      <c r="R248" s="2">
        <f t="shared" si="40"/>
        <v>0.3524253524253499</v>
      </c>
      <c r="S248" s="2">
        <f t="shared" si="40"/>
        <v>0.5611924216575399</v>
      </c>
      <c r="T248" s="2">
        <f t="shared" si="40"/>
        <v>-0.6603108654523896</v>
      </c>
      <c r="U248" s="2">
        <f t="shared" si="40"/>
        <v>0.443311537182754</v>
      </c>
      <c r="V248" s="2">
        <f t="shared" si="40"/>
        <v>0.9795289456306445</v>
      </c>
    </row>
    <row r="249" spans="1:22" ht="12.75">
      <c r="A249" s="2">
        <v>83</v>
      </c>
      <c r="B249" s="4">
        <f t="shared" si="46"/>
        <v>32505</v>
      </c>
      <c r="C249" s="4">
        <f t="shared" si="46"/>
        <v>445.35</v>
      </c>
      <c r="D249" s="4">
        <f t="shared" si="46"/>
        <v>238.85</v>
      </c>
      <c r="E249" s="4">
        <f t="shared" si="46"/>
        <v>1642</v>
      </c>
      <c r="F249" s="4">
        <f t="shared" si="46"/>
        <v>183.5</v>
      </c>
      <c r="G249" s="4">
        <f t="shared" si="46"/>
        <v>125.64999999999999</v>
      </c>
      <c r="H249" s="4">
        <f t="shared" si="46"/>
        <v>59.55</v>
      </c>
      <c r="I249" s="2">
        <f t="shared" si="35"/>
        <v>0.9767127403846154</v>
      </c>
      <c r="J249" s="2">
        <f t="shared" si="44"/>
        <v>0.9884585506603042</v>
      </c>
      <c r="K249" s="2">
        <f t="shared" si="44"/>
        <v>0.927933177933178</v>
      </c>
      <c r="L249" s="2">
        <f t="shared" si="44"/>
        <v>1.0320553111250785</v>
      </c>
      <c r="M249" s="2">
        <f t="shared" si="44"/>
        <v>0.9529992209815632</v>
      </c>
      <c r="N249" s="2">
        <f t="shared" si="44"/>
        <v>0.9747866563227306</v>
      </c>
      <c r="O249" s="2">
        <f t="shared" si="44"/>
        <v>1.0195172059578839</v>
      </c>
      <c r="P249" s="2">
        <f t="shared" si="40"/>
        <v>0.06653502747252833</v>
      </c>
      <c r="Q249" s="2">
        <f t="shared" si="40"/>
        <v>-0.5945114701079629</v>
      </c>
      <c r="R249" s="2">
        <f t="shared" si="40"/>
        <v>0.788100788100789</v>
      </c>
      <c r="S249" s="2">
        <f t="shared" si="40"/>
        <v>-1.1852383945407219</v>
      </c>
      <c r="T249" s="2">
        <f t="shared" si="40"/>
        <v>-1.2612679452461315</v>
      </c>
      <c r="U249" s="2">
        <f t="shared" si="40"/>
        <v>-0.5375152388340917</v>
      </c>
      <c r="V249" s="2">
        <f t="shared" si="40"/>
        <v>-0.6738083009269495</v>
      </c>
    </row>
    <row r="250" spans="1:22" ht="12.75">
      <c r="A250" s="2">
        <v>90</v>
      </c>
      <c r="B250" s="4">
        <f t="shared" si="46"/>
        <v>33280</v>
      </c>
      <c r="C250" s="4">
        <f t="shared" si="46"/>
        <v>450.54999999999995</v>
      </c>
      <c r="D250" s="4">
        <f t="shared" si="46"/>
        <v>257.4</v>
      </c>
      <c r="E250" s="4">
        <f t="shared" si="46"/>
        <v>1591</v>
      </c>
      <c r="F250" s="4">
        <f t="shared" si="46"/>
        <v>192.55</v>
      </c>
      <c r="G250" s="4">
        <f t="shared" si="46"/>
        <v>128.9</v>
      </c>
      <c r="H250" s="4">
        <f t="shared" si="46"/>
        <v>58.41</v>
      </c>
      <c r="I250" s="2">
        <f t="shared" si="35"/>
        <v>1</v>
      </c>
      <c r="J250" s="2">
        <f t="shared" si="44"/>
        <v>1</v>
      </c>
      <c r="K250" s="2">
        <f t="shared" si="44"/>
        <v>1</v>
      </c>
      <c r="L250" s="2">
        <f t="shared" si="44"/>
        <v>1</v>
      </c>
      <c r="M250" s="2">
        <f t="shared" si="44"/>
        <v>1</v>
      </c>
      <c r="N250" s="2">
        <f t="shared" si="44"/>
        <v>1</v>
      </c>
      <c r="O250" s="2">
        <f t="shared" si="44"/>
        <v>1</v>
      </c>
      <c r="P250" s="2">
        <f t="shared" si="40"/>
        <v>0.3326751373626369</v>
      </c>
      <c r="Q250" s="2">
        <f t="shared" si="40"/>
        <v>0.16487784770994013</v>
      </c>
      <c r="R250" s="2">
        <f t="shared" si="40"/>
        <v>1.029526029526029</v>
      </c>
      <c r="S250" s="2">
        <f t="shared" si="40"/>
        <v>-0.4579330160725505</v>
      </c>
      <c r="T250" s="2">
        <f t="shared" si="40"/>
        <v>0.6714397002633828</v>
      </c>
      <c r="U250" s="2">
        <f t="shared" si="40"/>
        <v>0.3601906239609907</v>
      </c>
      <c r="V250" s="2">
        <f t="shared" si="40"/>
        <v>-0.2788172279697695</v>
      </c>
    </row>
    <row r="261" spans="9:17" ht="12.75"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9:17" ht="12.75"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9:17" ht="12.75">
      <c r="I263" s="10"/>
      <c r="J263" s="10"/>
      <c r="K263" s="10"/>
      <c r="L263" s="10"/>
      <c r="M263" s="10"/>
      <c r="N263" s="10"/>
      <c r="O263" s="10"/>
      <c r="P263" s="10"/>
      <c r="Q263" s="10"/>
    </row>
    <row r="268" spans="2:17" ht="12.75">
      <c r="B268" s="11"/>
      <c r="C268" s="9"/>
      <c r="D268" s="9"/>
      <c r="E268" s="11"/>
      <c r="F268" s="9"/>
      <c r="G268" s="9"/>
      <c r="H268" s="14"/>
      <c r="I268" s="16"/>
      <c r="J268" s="20"/>
      <c r="K268" s="20"/>
      <c r="L268" s="16"/>
      <c r="M268" s="14"/>
      <c r="N268" s="16"/>
      <c r="O268" s="20"/>
      <c r="P268" s="20"/>
      <c r="Q268" s="16"/>
    </row>
    <row r="269" spans="2:17" ht="12.75">
      <c r="B269" s="11"/>
      <c r="C269" s="12"/>
      <c r="D269" s="11"/>
      <c r="E269" s="11"/>
      <c r="F269" s="12"/>
      <c r="G269" s="11"/>
      <c r="H269" s="14"/>
      <c r="J269" s="16"/>
      <c r="K269" s="16"/>
      <c r="L269" s="16"/>
      <c r="M269" s="14"/>
      <c r="O269" s="16"/>
      <c r="P269" s="16"/>
      <c r="Q269" s="16"/>
    </row>
    <row r="270" spans="2:17" ht="12.75">
      <c r="B270" s="13"/>
      <c r="C270" s="13"/>
      <c r="D270" s="13"/>
      <c r="E270" s="13"/>
      <c r="F270" s="13"/>
      <c r="G270" s="13"/>
      <c r="H270" s="14"/>
      <c r="I270" s="16"/>
      <c r="J270" s="16"/>
      <c r="K270" s="16"/>
      <c r="L270" s="16"/>
      <c r="N270" s="17"/>
      <c r="O270" s="16"/>
      <c r="P270" s="16"/>
      <c r="Q270" s="16"/>
    </row>
    <row r="271" spans="2:17" ht="12.75">
      <c r="B271" s="13"/>
      <c r="C271" s="13"/>
      <c r="D271" s="13"/>
      <c r="E271" s="13"/>
      <c r="F271" s="13"/>
      <c r="G271" s="13"/>
      <c r="H271" s="15"/>
      <c r="I271" s="18"/>
      <c r="J271" s="16"/>
      <c r="K271" s="18"/>
      <c r="L271" s="16"/>
      <c r="M271" s="15"/>
      <c r="N271" s="16"/>
      <c r="O271" s="16"/>
      <c r="P271" s="16"/>
      <c r="Q271" s="16"/>
    </row>
    <row r="272" spans="2:17" ht="12.75">
      <c r="B272" s="13"/>
      <c r="C272" s="13"/>
      <c r="D272" s="13"/>
      <c r="E272" s="13"/>
      <c r="F272" s="13"/>
      <c r="G272" s="13"/>
      <c r="H272" s="15"/>
      <c r="I272" s="19"/>
      <c r="J272" s="19"/>
      <c r="K272" s="19"/>
      <c r="L272" s="16"/>
      <c r="M272" s="15"/>
      <c r="N272" s="19"/>
      <c r="O272" s="19"/>
      <c r="P272" s="19"/>
      <c r="Q272" s="16"/>
    </row>
    <row r="276" spans="9:17" ht="12.75"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9:17" ht="12.75"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9:17" ht="12.75"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9:17" ht="12.75"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9:17" ht="12.75"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9:17" ht="12.75"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ht="12.75">
      <c r="A282" s="21"/>
      <c r="B282" s="21"/>
      <c r="C282" s="57"/>
      <c r="D282" s="57"/>
      <c r="E282" s="57"/>
      <c r="F282" s="57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ht="12.75">
      <c r="A283" s="21"/>
      <c r="B283" s="28"/>
      <c r="C283" s="28"/>
      <c r="D283" s="28"/>
      <c r="E283" s="28"/>
      <c r="F283" s="28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 ht="12.75">
      <c r="A284" s="21"/>
      <c r="B284" s="22"/>
      <c r="C284" s="23"/>
      <c r="D284" s="23"/>
      <c r="E284" s="23"/>
      <c r="F284" s="23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ht="12.75">
      <c r="A285" s="21"/>
      <c r="B285" s="22"/>
      <c r="C285" s="23"/>
      <c r="D285" s="23"/>
      <c r="E285" s="23"/>
      <c r="F285" s="23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ht="12.75">
      <c r="A286" s="21"/>
      <c r="B286" s="24"/>
      <c r="C286" s="25"/>
      <c r="D286" s="23"/>
      <c r="E286" s="25"/>
      <c r="F286" s="23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 ht="12.75">
      <c r="A287" s="21"/>
      <c r="B287" s="24"/>
      <c r="C287" s="26"/>
      <c r="D287" s="26"/>
      <c r="E287" s="26"/>
      <c r="F287" s="23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ht="12.75">
      <c r="A288" s="21"/>
      <c r="B288" s="21"/>
      <c r="C288" s="21"/>
      <c r="D288" s="21"/>
      <c r="E288" s="21"/>
      <c r="F288" s="21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 ht="12.75">
      <c r="A289" s="21"/>
      <c r="B289" s="21"/>
      <c r="C289" s="57"/>
      <c r="D289" s="57"/>
      <c r="E289" s="57"/>
      <c r="F289" s="57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ht="12.75">
      <c r="A290" s="21"/>
      <c r="B290" s="28"/>
      <c r="C290" s="28"/>
      <c r="D290" s="28"/>
      <c r="E290" s="28"/>
      <c r="F290" s="28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 ht="12.75">
      <c r="A291" s="21"/>
      <c r="B291" s="22"/>
      <c r="C291" s="23"/>
      <c r="D291" s="23"/>
      <c r="E291" s="23"/>
      <c r="F291" s="23"/>
      <c r="I291" s="10"/>
      <c r="J291" s="10"/>
      <c r="K291" s="10"/>
      <c r="L291" s="10"/>
      <c r="M291" s="10"/>
      <c r="N291" s="10"/>
      <c r="O291" s="10"/>
      <c r="P291" s="10"/>
      <c r="Q291" s="10"/>
    </row>
    <row r="292" spans="1:17" ht="12.75">
      <c r="A292" s="21"/>
      <c r="B292" s="22"/>
      <c r="C292" s="27"/>
      <c r="D292" s="23"/>
      <c r="E292" s="23"/>
      <c r="F292" s="23"/>
      <c r="I292" s="10"/>
      <c r="J292" s="10"/>
      <c r="K292" s="10"/>
      <c r="L292" s="10"/>
      <c r="M292" s="10"/>
      <c r="N292" s="10"/>
      <c r="O292" s="10"/>
      <c r="P292" s="10"/>
      <c r="Q292" s="10"/>
    </row>
    <row r="293" spans="1:17" ht="12.75">
      <c r="A293" s="21"/>
      <c r="B293" s="24"/>
      <c r="C293" s="23"/>
      <c r="D293" s="23"/>
      <c r="E293" s="23"/>
      <c r="F293" s="23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ht="12.75">
      <c r="A294" s="21"/>
      <c r="B294" s="24"/>
      <c r="C294" s="26"/>
      <c r="D294" s="26"/>
      <c r="E294" s="26"/>
      <c r="F294" s="26"/>
      <c r="I294" s="10"/>
      <c r="J294" s="10"/>
      <c r="K294" s="10"/>
      <c r="L294" s="10"/>
      <c r="M294" s="10"/>
      <c r="N294" s="10"/>
      <c r="O294" s="10"/>
      <c r="P294" s="10"/>
      <c r="Q294" s="10"/>
    </row>
  </sheetData>
  <mergeCells count="10">
    <mergeCell ref="C282:F282"/>
    <mergeCell ref="C289:F289"/>
    <mergeCell ref="C19:F19"/>
    <mergeCell ref="C26:F26"/>
    <mergeCell ref="C128:F128"/>
    <mergeCell ref="C135:F135"/>
    <mergeCell ref="C55:F55"/>
    <mergeCell ref="C70:F70"/>
    <mergeCell ref="C77:F77"/>
    <mergeCell ref="C62:F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23"/>
  <sheetViews>
    <sheetView workbookViewId="0" topLeftCell="A1">
      <selection activeCell="J98" sqref="J98"/>
    </sheetView>
  </sheetViews>
  <sheetFormatPr defaultColWidth="11.00390625" defaultRowHeight="12.75"/>
  <cols>
    <col min="1" max="1" width="22.25390625" style="2" customWidth="1"/>
    <col min="2" max="2" width="16.125" style="2" customWidth="1"/>
    <col min="3" max="9" width="10.75390625" style="2" customWidth="1"/>
    <col min="10" max="10" width="11.375" style="2" bestFit="1" customWidth="1"/>
    <col min="11" max="16384" width="10.75390625" style="2" customWidth="1"/>
  </cols>
  <sheetData>
    <row r="2" spans="1:8" ht="12.75">
      <c r="A2" s="2" t="s">
        <v>5</v>
      </c>
      <c r="H2" s="2" t="s">
        <v>7</v>
      </c>
    </row>
    <row r="3" spans="2:14" ht="12.75">
      <c r="B3" s="2" t="s">
        <v>114</v>
      </c>
      <c r="E3" s="2" t="s">
        <v>1</v>
      </c>
      <c r="I3" s="2" t="s">
        <v>114</v>
      </c>
      <c r="N3" s="2" t="s">
        <v>1</v>
      </c>
    </row>
    <row r="4" spans="2:17" ht="12.75">
      <c r="B4" s="2" t="s">
        <v>115</v>
      </c>
      <c r="C4" s="2" t="s">
        <v>116</v>
      </c>
      <c r="D4" s="2" t="s">
        <v>0</v>
      </c>
      <c r="E4" s="2" t="s">
        <v>115</v>
      </c>
      <c r="F4" s="2" t="s">
        <v>116</v>
      </c>
      <c r="G4" s="2" t="s">
        <v>0</v>
      </c>
      <c r="H4" s="2" t="s">
        <v>8</v>
      </c>
      <c r="I4" s="2" t="s">
        <v>115</v>
      </c>
      <c r="J4" s="2" t="s">
        <v>116</v>
      </c>
      <c r="K4" s="2" t="s">
        <v>0</v>
      </c>
      <c r="L4" s="2" t="s">
        <v>12</v>
      </c>
      <c r="M4" s="2" t="s">
        <v>8</v>
      </c>
      <c r="N4" s="2" t="s">
        <v>115</v>
      </c>
      <c r="O4" s="2" t="s">
        <v>116</v>
      </c>
      <c r="P4" s="2" t="s">
        <v>0</v>
      </c>
      <c r="Q4" s="2" t="s">
        <v>12</v>
      </c>
    </row>
    <row r="5" spans="1:17" ht="12.75">
      <c r="A5" s="2" t="s">
        <v>2</v>
      </c>
      <c r="B5" s="11">
        <f>J98</f>
        <v>0.0005413486005089058</v>
      </c>
      <c r="C5" s="9"/>
      <c r="D5" s="9"/>
      <c r="E5" s="11">
        <f>J131</f>
        <v>0.0012002934702861334</v>
      </c>
      <c r="F5" s="9"/>
      <c r="G5" s="9"/>
      <c r="H5" s="14" t="s">
        <v>9</v>
      </c>
      <c r="I5" s="16">
        <v>14.0056897041047</v>
      </c>
      <c r="J5" s="20">
        <f>J6-(J7-J6)/8</f>
        <v>14.82022258112423</v>
      </c>
      <c r="K5" s="20">
        <f>K6-(K7-K6)/8</f>
        <v>15.40782054928415</v>
      </c>
      <c r="L5" s="16">
        <f>AVERAGE(I5:K5)</f>
        <v>14.74457761150436</v>
      </c>
      <c r="M5" s="14" t="s">
        <v>9</v>
      </c>
      <c r="N5" s="16">
        <v>15.986089379584481</v>
      </c>
      <c r="O5" s="20">
        <f>O6-(O7-O6)/8</f>
        <v>15.088131972853393</v>
      </c>
      <c r="P5" s="20">
        <f>P6-(P7-P6)/8</f>
        <v>14.083708672013445</v>
      </c>
      <c r="Q5" s="16">
        <f>AVERAGE(N5:P5)</f>
        <v>15.052643341483773</v>
      </c>
    </row>
    <row r="6" spans="1:17" ht="12.75">
      <c r="A6" s="2" t="s">
        <v>6</v>
      </c>
      <c r="B6" s="11">
        <f>J99</f>
        <v>0.0017269720101781173</v>
      </c>
      <c r="C6" s="12">
        <f>K99</f>
        <v>0.014468701269770552</v>
      </c>
      <c r="D6" s="11">
        <f>M99</f>
        <v>0.0034093152375077114</v>
      </c>
      <c r="E6" s="11">
        <f>J132</f>
        <v>0.002459280997798973</v>
      </c>
      <c r="F6" s="12">
        <f>K132</f>
        <v>0.014670499778858913</v>
      </c>
      <c r="G6" s="11">
        <f>M132</f>
        <v>0.0029019859064702115</v>
      </c>
      <c r="H6" s="14" t="s">
        <v>9</v>
      </c>
      <c r="J6" s="16">
        <v>17.192984968547457</v>
      </c>
      <c r="K6" s="16">
        <v>17.646323551012014</v>
      </c>
      <c r="L6" s="16">
        <f>AVERAGE(I6:K6)</f>
        <v>17.419654259779733</v>
      </c>
      <c r="M6" s="14" t="s">
        <v>9</v>
      </c>
      <c r="O6" s="16">
        <v>17.192984968547457</v>
      </c>
      <c r="P6" s="16">
        <v>16.33370956753404</v>
      </c>
      <c r="Q6" s="16">
        <f>AVERAGE(N6:P6)</f>
        <v>16.763347268040746</v>
      </c>
    </row>
    <row r="7" spans="1:17" ht="12.75">
      <c r="A7" s="2" t="s">
        <v>3</v>
      </c>
      <c r="B7" s="13">
        <f>J106</f>
        <v>0.04066157760814249</v>
      </c>
      <c r="C7" s="13">
        <f>K106</f>
        <v>0.24994430830920028</v>
      </c>
      <c r="D7" s="13">
        <f>M105+(M110-M105)*1/(A110-A105)</f>
        <v>0.063250198290297</v>
      </c>
      <c r="E7" s="13">
        <f>J139</f>
        <v>0.06221570066030815</v>
      </c>
      <c r="F7" s="13">
        <f>K139</f>
        <v>0.20973020787262275</v>
      </c>
      <c r="G7" s="13">
        <f>AVERAGE(M138:M140)</f>
        <v>0.05501281229980781</v>
      </c>
      <c r="H7" s="14" t="s">
        <v>9</v>
      </c>
      <c r="I7" s="16">
        <v>37.689494357032856</v>
      </c>
      <c r="J7" s="16">
        <v>36.175084067933255</v>
      </c>
      <c r="K7" s="16">
        <v>35.55434756483492</v>
      </c>
      <c r="L7" s="16">
        <f>AVERAGE(I7:K7)</f>
        <v>36.47297532993368</v>
      </c>
      <c r="M7" s="2" t="s">
        <v>11</v>
      </c>
      <c r="N7" s="17">
        <v>23.9606812336733</v>
      </c>
      <c r="O7" s="16">
        <v>34.031808934099956</v>
      </c>
      <c r="P7" s="16">
        <v>34.33371673169879</v>
      </c>
      <c r="Q7" s="16">
        <f>37+N7/7</f>
        <v>40.42295446195333</v>
      </c>
    </row>
    <row r="8" spans="1:17" ht="12.75">
      <c r="A8" s="2" t="s">
        <v>4</v>
      </c>
      <c r="B8" s="13">
        <f>J113</f>
        <v>0.2979643765903308</v>
      </c>
      <c r="C8" s="13">
        <f>K113</f>
        <v>0.8621073735798619</v>
      </c>
      <c r="D8" s="13">
        <f>M113</f>
        <v>0.3254780999383097</v>
      </c>
      <c r="E8" s="13">
        <f>J145</f>
        <v>0.45634629493763756</v>
      </c>
      <c r="F8" s="13">
        <f>K145</f>
        <v>0.8679787704555506</v>
      </c>
      <c r="G8" s="13">
        <f>M145</f>
        <v>0.3426649583600256</v>
      </c>
      <c r="H8" s="15" t="s">
        <v>10</v>
      </c>
      <c r="I8" s="18">
        <v>6.017931398980134</v>
      </c>
      <c r="J8" s="16">
        <v>2.8957284020378626</v>
      </c>
      <c r="K8" s="18">
        <v>4.1816162862430595</v>
      </c>
      <c r="L8" s="16">
        <f>AVERAGE(I8:K8)</f>
        <v>4.365092029087019</v>
      </c>
      <c r="M8" s="15" t="s">
        <v>10</v>
      </c>
      <c r="N8" s="16">
        <v>8.277241619540117</v>
      </c>
      <c r="O8" s="16">
        <v>3.0078416629809803</v>
      </c>
      <c r="P8" s="16">
        <v>4.531798526585521</v>
      </c>
      <c r="Q8" s="16">
        <f>AVERAGE(N8:P8)</f>
        <v>5.272293936368873</v>
      </c>
    </row>
    <row r="9" spans="1:17" ht="12.75">
      <c r="A9" s="2" t="s">
        <v>113</v>
      </c>
      <c r="B9" s="13">
        <f>J118+(4/7)*(J119-J118)</f>
        <v>0.979425663395129</v>
      </c>
      <c r="C9" s="13">
        <f>K118+(4/7)*(K119-K118)</f>
        <v>0.9733316360627566</v>
      </c>
      <c r="D9" s="13">
        <f>M118+(4/7)*(M119-M118)</f>
        <v>1.0846038600511148</v>
      </c>
      <c r="E9" s="13">
        <f>J150+4/7*(J151-J150)</f>
        <v>0.9679278901582644</v>
      </c>
      <c r="F9" s="13">
        <f>K150+4/7*(K151-K150)</f>
        <v>1.039015606242497</v>
      </c>
      <c r="G9" s="13">
        <f>M150+4/7*(M151-M150)</f>
        <v>1.0499679692504804</v>
      </c>
      <c r="H9" s="15" t="s">
        <v>10</v>
      </c>
      <c r="I9" s="19">
        <v>18</v>
      </c>
      <c r="J9" s="19">
        <v>18</v>
      </c>
      <c r="K9" s="19">
        <v>18</v>
      </c>
      <c r="L9" s="16">
        <f>AVERAGE(I9:K9)</f>
        <v>18</v>
      </c>
      <c r="M9" s="15" t="s">
        <v>10</v>
      </c>
      <c r="N9" s="19">
        <v>18</v>
      </c>
      <c r="O9" s="19">
        <v>18</v>
      </c>
      <c r="P9" s="19">
        <v>18</v>
      </c>
      <c r="Q9" s="16">
        <f>AVERAGE(N9:P9)</f>
        <v>18</v>
      </c>
    </row>
    <row r="10" ht="12.75">
      <c r="I10" s="2" t="s">
        <v>17</v>
      </c>
    </row>
    <row r="11" spans="9:14" ht="12.75">
      <c r="I11" s="2" t="s">
        <v>114</v>
      </c>
      <c r="N11" s="2" t="s">
        <v>1</v>
      </c>
    </row>
    <row r="12" spans="9:17" ht="12.75">
      <c r="I12" s="2" t="s">
        <v>115</v>
      </c>
      <c r="J12" s="2" t="s">
        <v>116</v>
      </c>
      <c r="K12" s="2" t="s">
        <v>0</v>
      </c>
      <c r="L12" s="2" t="s">
        <v>12</v>
      </c>
      <c r="N12" s="2" t="s">
        <v>115</v>
      </c>
      <c r="O12" s="2" t="s">
        <v>116</v>
      </c>
      <c r="P12" s="2" t="s">
        <v>0</v>
      </c>
      <c r="Q12" s="2" t="s">
        <v>12</v>
      </c>
    </row>
    <row r="13" spans="8:17" ht="12.75">
      <c r="H13" s="2" t="s">
        <v>13</v>
      </c>
      <c r="I13" s="10">
        <f>7*(I7-I5)</f>
        <v>165.7866325704971</v>
      </c>
      <c r="J13" s="10">
        <f>7*(J7-J5)</f>
        <v>149.48403040766317</v>
      </c>
      <c r="K13" s="10">
        <f>7*(K7-K5)</f>
        <v>141.0256891088554</v>
      </c>
      <c r="L13" s="10">
        <f>7*(L7-L5)</f>
        <v>152.09878402900523</v>
      </c>
      <c r="M13" s="10"/>
      <c r="N13" s="10">
        <f>7*(37+N7/7-N5)</f>
        <v>171.05805557658195</v>
      </c>
      <c r="O13" s="10">
        <f>7*(O7-O5)</f>
        <v>132.60573872872595</v>
      </c>
      <c r="P13" s="10">
        <f>7*(P7-P5)</f>
        <v>141.75005641779745</v>
      </c>
      <c r="Q13" s="10">
        <f>AVERAGE(N13:P13)</f>
        <v>148.47128357436844</v>
      </c>
    </row>
    <row r="14" spans="8:17" ht="12.75">
      <c r="H14" s="2" t="s">
        <v>14</v>
      </c>
      <c r="I14" s="10">
        <f>I8*365+(37-I7)*7</f>
        <v>2191.718500128519</v>
      </c>
      <c r="J14" s="10">
        <f>J8*365+(37-J7)*7</f>
        <v>1062.7152782682872</v>
      </c>
      <c r="K14" s="10">
        <f>K8*365+(37-K7)*7</f>
        <v>1536.4095115248722</v>
      </c>
      <c r="L14" s="10">
        <f>L8*365+(37-L7)*7</f>
        <v>1596.947763307226</v>
      </c>
      <c r="M14" s="10"/>
      <c r="N14" s="10">
        <f>N8*365-N7</f>
        <v>2997.2325098984693</v>
      </c>
      <c r="O14" s="10">
        <f>O8*365+(37-O7)*7</f>
        <v>1118.639544449358</v>
      </c>
      <c r="P14" s="10">
        <f>P8*365+(37-P7)*7</f>
        <v>1672.7704450818237</v>
      </c>
      <c r="Q14" s="10">
        <f>Q8*365+(37-Q7)*7</f>
        <v>1900.4266055409653</v>
      </c>
    </row>
    <row r="15" spans="8:17" ht="12.75">
      <c r="H15" s="2" t="s">
        <v>15</v>
      </c>
      <c r="I15" s="10">
        <f>365*(I9-I8)</f>
        <v>4373.455039372251</v>
      </c>
      <c r="J15" s="10">
        <f>365*(J9-J8)</f>
        <v>5513.05913325618</v>
      </c>
      <c r="K15" s="10">
        <f>365*(K9-K8)</f>
        <v>5043.710055521284</v>
      </c>
      <c r="L15" s="10">
        <f>365*(L9-L8)</f>
        <v>4976.741409383238</v>
      </c>
      <c r="M15" s="10"/>
      <c r="N15" s="10">
        <f>365*(N9-N8)</f>
        <v>3548.8068088678574</v>
      </c>
      <c r="O15" s="10">
        <f>365*(O9-O8)</f>
        <v>5472.137793011942</v>
      </c>
      <c r="P15" s="10">
        <f>365*(P9-P8)</f>
        <v>4915.893537796284</v>
      </c>
      <c r="Q15" s="10">
        <f>365*(Q9-Q8)</f>
        <v>4645.612713225361</v>
      </c>
    </row>
    <row r="16" spans="8:17" ht="12.75">
      <c r="H16" s="2" t="s">
        <v>16</v>
      </c>
      <c r="I16" s="10">
        <f>365*70-I9</f>
        <v>25532</v>
      </c>
      <c r="J16" s="10">
        <f>365*70-J9</f>
        <v>25532</v>
      </c>
      <c r="K16" s="10">
        <f>365*70-K9</f>
        <v>25532</v>
      </c>
      <c r="L16" s="10">
        <f>365*70-L9</f>
        <v>25532</v>
      </c>
      <c r="M16" s="10"/>
      <c r="N16" s="10">
        <f>365*70-N9</f>
        <v>25532</v>
      </c>
      <c r="O16" s="10">
        <f>365*70-O9</f>
        <v>25532</v>
      </c>
      <c r="P16" s="10">
        <f>365*70-P9</f>
        <v>25532</v>
      </c>
      <c r="Q16" s="10">
        <f>365*70-Q9</f>
        <v>25532</v>
      </c>
    </row>
    <row r="17" spans="8:17" ht="12.75">
      <c r="H17" s="2" t="s">
        <v>18</v>
      </c>
      <c r="I17" s="10">
        <f>SUM(I13:I16)</f>
        <v>32262.960172071267</v>
      </c>
      <c r="J17" s="10">
        <f>SUM(J13:J16)</f>
        <v>32257.25844193213</v>
      </c>
      <c r="K17" s="10">
        <f>SUM(K13:K16)</f>
        <v>32253.14525615501</v>
      </c>
      <c r="L17" s="10">
        <f>SUM(L13:L16)</f>
        <v>32257.78795671947</v>
      </c>
      <c r="M17" s="10"/>
      <c r="N17" s="10">
        <f>SUM(N13:N16)</f>
        <v>32249.09737434291</v>
      </c>
      <c r="O17" s="10">
        <f>SUM(O13:O16)</f>
        <v>32255.383076190024</v>
      </c>
      <c r="P17" s="10">
        <f>SUM(P13:P16)</f>
        <v>32262.414039295905</v>
      </c>
      <c r="Q17" s="10">
        <f>SUM(Q13:Q16)</f>
        <v>32226.510602340695</v>
      </c>
    </row>
    <row r="18" spans="9:17" ht="12.75"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1"/>
      <c r="B19" s="21"/>
      <c r="C19" s="57" t="s">
        <v>22</v>
      </c>
      <c r="D19" s="57"/>
      <c r="E19" s="57"/>
      <c r="F19" s="57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24.75">
      <c r="A20" s="21" t="s">
        <v>25</v>
      </c>
      <c r="B20" s="28" t="s">
        <v>8</v>
      </c>
      <c r="C20" s="28" t="s">
        <v>115</v>
      </c>
      <c r="D20" s="28" t="s">
        <v>116</v>
      </c>
      <c r="E20" s="28" t="s">
        <v>0</v>
      </c>
      <c r="F20" s="28" t="s">
        <v>12</v>
      </c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21" t="s">
        <v>2</v>
      </c>
      <c r="B21" s="22" t="s">
        <v>9</v>
      </c>
      <c r="C21" s="23">
        <v>14.0056897041047</v>
      </c>
      <c r="D21" s="23">
        <v>14.82022258112423</v>
      </c>
      <c r="E21" s="23">
        <v>15.40782054928415</v>
      </c>
      <c r="F21" s="23">
        <v>14.74457761150436</v>
      </c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3</v>
      </c>
      <c r="B22" s="22" t="s">
        <v>9</v>
      </c>
      <c r="C22" s="23">
        <v>37.689494357032856</v>
      </c>
      <c r="D22" s="23">
        <v>36.175084067933255</v>
      </c>
      <c r="E22" s="23">
        <v>35.55434756483492</v>
      </c>
      <c r="F22" s="23">
        <f>AVERAGE(C22:E22)</f>
        <v>36.47297532993368</v>
      </c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</v>
      </c>
      <c r="B23" s="24" t="s">
        <v>10</v>
      </c>
      <c r="C23" s="25">
        <v>6.017931398980134</v>
      </c>
      <c r="D23" s="23">
        <v>2.8957284020378626</v>
      </c>
      <c r="E23" s="25">
        <v>4.1816162862430595</v>
      </c>
      <c r="F23" s="23">
        <f>AVERAGE(C23:E23)</f>
        <v>4.365092029087019</v>
      </c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21" t="s">
        <v>113</v>
      </c>
      <c r="B24" s="24" t="s">
        <v>10</v>
      </c>
      <c r="C24" s="26">
        <v>18</v>
      </c>
      <c r="D24" s="26">
        <v>18</v>
      </c>
      <c r="E24" s="26">
        <v>18</v>
      </c>
      <c r="F24" s="23">
        <f>AVERAGE(C24:E24)</f>
        <v>18</v>
      </c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21"/>
      <c r="B25" s="21"/>
      <c r="C25" s="21"/>
      <c r="D25" s="21"/>
      <c r="E25" s="21"/>
      <c r="F25" s="21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21"/>
      <c r="B26" s="21"/>
      <c r="C26" s="57" t="s">
        <v>23</v>
      </c>
      <c r="D26" s="57"/>
      <c r="E26" s="57"/>
      <c r="F26" s="57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24.75">
      <c r="A27" s="21" t="s">
        <v>24</v>
      </c>
      <c r="B27" s="28" t="s">
        <v>8</v>
      </c>
      <c r="C27" s="28" t="s">
        <v>115</v>
      </c>
      <c r="D27" s="28" t="s">
        <v>116</v>
      </c>
      <c r="E27" s="28" t="s">
        <v>0</v>
      </c>
      <c r="F27" s="28" t="s">
        <v>12</v>
      </c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</v>
      </c>
      <c r="B28" s="22" t="s">
        <v>9</v>
      </c>
      <c r="C28" s="23">
        <v>15.986089379584481</v>
      </c>
      <c r="D28" s="23">
        <v>15.088131972853393</v>
      </c>
      <c r="E28" s="23">
        <v>14.083708672013445</v>
      </c>
      <c r="F28" s="23">
        <v>15.052643341483773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36" customHeight="1">
      <c r="A29" s="21" t="s">
        <v>3</v>
      </c>
      <c r="B29" s="22" t="s">
        <v>21</v>
      </c>
      <c r="C29" s="27" t="s">
        <v>20</v>
      </c>
      <c r="D29" s="23">
        <v>34.031808934099956</v>
      </c>
      <c r="E29" s="23">
        <v>34.33371673169879</v>
      </c>
      <c r="F29" s="23">
        <v>40.42295446195333</v>
      </c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21" t="s">
        <v>4</v>
      </c>
      <c r="B30" s="24" t="s">
        <v>10</v>
      </c>
      <c r="C30" s="23">
        <v>8.277241619540117</v>
      </c>
      <c r="D30" s="23">
        <v>3.0078416629809803</v>
      </c>
      <c r="E30" s="23">
        <v>4.531798526585521</v>
      </c>
      <c r="F30" s="23">
        <v>5.272293936368873</v>
      </c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21" t="s">
        <v>113</v>
      </c>
      <c r="B31" s="24" t="s">
        <v>10</v>
      </c>
      <c r="C31" s="26">
        <v>18</v>
      </c>
      <c r="D31" s="26">
        <v>18</v>
      </c>
      <c r="E31" s="26">
        <v>18</v>
      </c>
      <c r="F31" s="23">
        <v>18</v>
      </c>
      <c r="I31" s="10"/>
      <c r="J31" s="10"/>
      <c r="K31" s="10"/>
      <c r="L31" s="10"/>
      <c r="M31" s="10"/>
      <c r="N31" s="10"/>
      <c r="O31" s="10"/>
      <c r="P31" s="10"/>
      <c r="Q31" s="10"/>
    </row>
    <row r="32" spans="9:17" ht="12.75">
      <c r="I32" s="10"/>
      <c r="J32" s="10"/>
      <c r="K32" s="10"/>
      <c r="L32" s="10"/>
      <c r="M32" s="10"/>
      <c r="N32" s="10"/>
      <c r="O32" s="10"/>
      <c r="P32" s="10"/>
      <c r="Q32" s="10"/>
    </row>
    <row r="33" spans="9:17" ht="12.75">
      <c r="I33" s="10"/>
      <c r="J33" s="10"/>
      <c r="K33" s="10"/>
      <c r="L33" s="10"/>
      <c r="M33" s="10"/>
      <c r="N33" s="10"/>
      <c r="O33" s="10"/>
      <c r="P33" s="10"/>
      <c r="Q33" s="10"/>
    </row>
    <row r="34" spans="9:17" ht="12.75">
      <c r="I34" s="10"/>
      <c r="J34" s="10"/>
      <c r="K34" s="10"/>
      <c r="L34" s="10"/>
      <c r="M34" s="10"/>
      <c r="N34" s="10"/>
      <c r="O34" s="10"/>
      <c r="P34" s="10"/>
      <c r="Q34" s="10"/>
    </row>
    <row r="35" spans="9:17" ht="12.75">
      <c r="I35" s="10"/>
      <c r="J35" s="10"/>
      <c r="K35" s="10"/>
      <c r="L35" s="10"/>
      <c r="M35" s="10"/>
      <c r="N35" s="10"/>
      <c r="O35" s="10"/>
      <c r="P35" s="10"/>
      <c r="Q35" s="10"/>
    </row>
    <row r="36" spans="9:17" ht="12.75">
      <c r="I36" s="10"/>
      <c r="J36" s="10"/>
      <c r="K36" s="10"/>
      <c r="L36" s="10"/>
      <c r="M36" s="10"/>
      <c r="N36" s="10"/>
      <c r="O36" s="10"/>
      <c r="P36" s="10"/>
      <c r="Q36" s="10"/>
    </row>
    <row r="37" spans="9:17" ht="12.75">
      <c r="I37" s="10"/>
      <c r="J37" s="10"/>
      <c r="K37" s="10"/>
      <c r="L37" s="10"/>
      <c r="M37" s="10"/>
      <c r="N37" s="10"/>
      <c r="O37" s="10"/>
      <c r="P37" s="10"/>
      <c r="Q37" s="10"/>
    </row>
    <row r="38" spans="7:17" ht="12.75">
      <c r="G38" s="2" t="s">
        <v>19</v>
      </c>
      <c r="I38" s="10"/>
      <c r="J38" s="10"/>
      <c r="K38" s="10"/>
      <c r="L38" s="10"/>
      <c r="M38" s="10"/>
      <c r="N38" s="10"/>
      <c r="O38" s="10"/>
      <c r="P38" s="10"/>
      <c r="Q38" s="10"/>
    </row>
    <row r="39" spans="9:17" ht="12.75">
      <c r="I39" s="10"/>
      <c r="J39" s="10"/>
      <c r="K39" s="10"/>
      <c r="L39" s="10"/>
      <c r="M39" s="10"/>
      <c r="N39" s="10"/>
      <c r="O39" s="10"/>
      <c r="P39" s="10"/>
      <c r="Q39" s="10"/>
    </row>
    <row r="40" spans="9:17" ht="12.75">
      <c r="I40" s="10"/>
      <c r="J40" s="10"/>
      <c r="K40" s="10"/>
      <c r="L40" s="10"/>
      <c r="M40" s="10"/>
      <c r="N40" s="10"/>
      <c r="O40" s="10"/>
      <c r="P40" s="10"/>
      <c r="Q40" s="10"/>
    </row>
    <row r="42" spans="1:8" ht="12.75">
      <c r="A42" s="2" t="s">
        <v>5</v>
      </c>
      <c r="H42" s="2" t="s">
        <v>7</v>
      </c>
    </row>
    <row r="43" spans="2:14" ht="12.75">
      <c r="B43" s="2" t="s">
        <v>114</v>
      </c>
      <c r="E43" s="2" t="s">
        <v>1</v>
      </c>
      <c r="I43" s="2" t="s">
        <v>114</v>
      </c>
      <c r="N43" s="2" t="s">
        <v>1</v>
      </c>
    </row>
    <row r="44" spans="2:17" ht="12.75">
      <c r="B44" s="2" t="s">
        <v>115</v>
      </c>
      <c r="C44" s="2" t="s">
        <v>116</v>
      </c>
      <c r="D44" s="2" t="s">
        <v>0</v>
      </c>
      <c r="E44" s="2" t="s">
        <v>115</v>
      </c>
      <c r="F44" s="2" t="s">
        <v>116</v>
      </c>
      <c r="G44" s="2" t="s">
        <v>0</v>
      </c>
      <c r="H44" s="2" t="s">
        <v>8</v>
      </c>
      <c r="I44" s="2" t="s">
        <v>115</v>
      </c>
      <c r="J44" s="2" t="s">
        <v>116</v>
      </c>
      <c r="K44" s="2" t="s">
        <v>0</v>
      </c>
      <c r="L44" s="2" t="s">
        <v>12</v>
      </c>
      <c r="M44" s="2" t="s">
        <v>8</v>
      </c>
      <c r="N44" s="2" t="s">
        <v>115</v>
      </c>
      <c r="O44" s="2" t="s">
        <v>116</v>
      </c>
      <c r="P44" s="2" t="s">
        <v>0</v>
      </c>
      <c r="Q44" s="2" t="s">
        <v>12</v>
      </c>
    </row>
    <row r="45" spans="1:17" ht="12.75">
      <c r="A45" s="2" t="s">
        <v>2</v>
      </c>
      <c r="B45" s="11">
        <f>J120</f>
        <v>1</v>
      </c>
      <c r="C45" s="9"/>
      <c r="D45" s="9"/>
      <c r="E45" s="11">
        <f>J153</f>
        <v>0</v>
      </c>
      <c r="F45" s="9"/>
      <c r="G45" s="9"/>
      <c r="H45" s="14" t="s">
        <v>9</v>
      </c>
      <c r="I45" s="16">
        <v>14.0056897041047</v>
      </c>
      <c r="J45" s="20">
        <f>J46-(J47-J46)/8</f>
        <v>14.82022258112423</v>
      </c>
      <c r="K45" s="20">
        <f>K46-(K47-K46)/8</f>
        <v>15.40782054928415</v>
      </c>
      <c r="L45" s="16">
        <f>AVERAGE(I45:K45)</f>
        <v>14.74457761150436</v>
      </c>
      <c r="M45" s="14" t="s">
        <v>9</v>
      </c>
      <c r="N45" s="16">
        <v>15.986089379584481</v>
      </c>
      <c r="O45" s="20">
        <f>O46-(O47-O46)/8</f>
        <v>15.088131972853393</v>
      </c>
      <c r="P45" s="20">
        <f>P46-(P47-P46)/8</f>
        <v>14.083708672013445</v>
      </c>
      <c r="Q45" s="16">
        <f>AVERAGE(N45:P45)</f>
        <v>15.052643341483773</v>
      </c>
    </row>
    <row r="46" spans="1:17" ht="12.75">
      <c r="A46" s="2" t="s">
        <v>6</v>
      </c>
      <c r="B46" s="11">
        <f>J121</f>
        <v>0</v>
      </c>
      <c r="C46" s="12">
        <f>K121</f>
        <v>0</v>
      </c>
      <c r="D46" s="11">
        <f>M121</f>
        <v>0</v>
      </c>
      <c r="E46" s="11">
        <f>J154</f>
        <v>0</v>
      </c>
      <c r="F46" s="12">
        <f>K154</f>
        <v>0</v>
      </c>
      <c r="G46" s="11">
        <f>M154</f>
        <v>0</v>
      </c>
      <c r="H46" s="14" t="s">
        <v>9</v>
      </c>
      <c r="J46" s="16">
        <v>17.192984968547457</v>
      </c>
      <c r="K46" s="16">
        <v>17.646323551012014</v>
      </c>
      <c r="L46" s="16">
        <f>AVERAGE(I46:K46)</f>
        <v>17.419654259779733</v>
      </c>
      <c r="M46" s="14" t="s">
        <v>9</v>
      </c>
      <c r="O46" s="16">
        <v>17.192984968547457</v>
      </c>
      <c r="P46" s="16">
        <v>16.33370956753404</v>
      </c>
      <c r="Q46" s="16">
        <f>AVERAGE(N46:P46)</f>
        <v>16.763347268040746</v>
      </c>
    </row>
    <row r="47" spans="1:17" ht="12.75">
      <c r="A47" s="2" t="s">
        <v>3</v>
      </c>
      <c r="B47" s="13" t="str">
        <f>J128</f>
        <v>Fract Adult Wt</v>
      </c>
      <c r="C47" s="13">
        <f>K128</f>
        <v>0</v>
      </c>
      <c r="D47" s="13">
        <f>M127+(M132-M127)*1/(A132-A127)</f>
        <v>0.00022322968511309318</v>
      </c>
      <c r="E47" s="13">
        <f>J161</f>
        <v>0.0808567306625236</v>
      </c>
      <c r="F47" s="13">
        <f>K161</f>
        <v>0.003395444832944833</v>
      </c>
      <c r="G47" s="13">
        <f>AVERAGE(M160:M162)</f>
        <v>0.06730373063273608</v>
      </c>
      <c r="H47" s="14" t="s">
        <v>9</v>
      </c>
      <c r="I47" s="16">
        <v>37.689494357032856</v>
      </c>
      <c r="J47" s="16">
        <v>36.175084067933255</v>
      </c>
      <c r="K47" s="16">
        <v>35.55434756483492</v>
      </c>
      <c r="L47" s="16">
        <f>AVERAGE(I47:K47)</f>
        <v>36.47297532993368</v>
      </c>
      <c r="M47" s="2" t="s">
        <v>11</v>
      </c>
      <c r="N47" s="17">
        <v>23.9606812336733</v>
      </c>
      <c r="O47" s="16">
        <v>34.031808934099956</v>
      </c>
      <c r="P47" s="16">
        <v>34.33371673169879</v>
      </c>
      <c r="Q47" s="16">
        <f>37+N47/7</f>
        <v>40.42295446195333</v>
      </c>
    </row>
    <row r="48" spans="1:17" ht="12.75">
      <c r="A48" s="2" t="s">
        <v>4</v>
      </c>
      <c r="B48" s="13">
        <f>J135</f>
        <v>0.020605282465150407</v>
      </c>
      <c r="C48" s="13">
        <f>K135</f>
        <v>0.10170278637770898</v>
      </c>
      <c r="D48" s="13">
        <f>M135</f>
        <v>0.041121076233183854</v>
      </c>
      <c r="E48" s="13">
        <f>J167</f>
        <v>0.2741094218177783</v>
      </c>
      <c r="F48" s="13">
        <f>K167</f>
        <v>0.047144522144522145</v>
      </c>
      <c r="G48" s="13">
        <f>M167</f>
        <v>0.21034796156842375</v>
      </c>
      <c r="H48" s="15" t="s">
        <v>10</v>
      </c>
      <c r="I48" s="18">
        <v>6.017931398980134</v>
      </c>
      <c r="J48" s="16">
        <v>2.8957284020378626</v>
      </c>
      <c r="K48" s="18">
        <v>4.1816162862430595</v>
      </c>
      <c r="L48" s="16">
        <f>AVERAGE(I48:K48)</f>
        <v>4.365092029087019</v>
      </c>
      <c r="M48" s="15" t="s">
        <v>10</v>
      </c>
      <c r="N48" s="16">
        <v>8.277241619540117</v>
      </c>
      <c r="O48" s="16">
        <v>3.0078416629809803</v>
      </c>
      <c r="P48" s="16">
        <v>4.531798526585521</v>
      </c>
      <c r="Q48" s="16">
        <f>AVERAGE(N48:P48)</f>
        <v>5.272293936368873</v>
      </c>
    </row>
    <row r="49" spans="1:17" ht="12.75">
      <c r="A49" s="2" t="s">
        <v>113</v>
      </c>
      <c r="B49" s="13">
        <f>J140+(4/7)*(J141-J140)</f>
        <v>0.0872812074206058</v>
      </c>
      <c r="C49" s="13">
        <f>K140+(4/7)*(K141-K140)</f>
        <v>0.3302268275731345</v>
      </c>
      <c r="D49" s="13">
        <f>M140+(4/7)*(M141-M140)</f>
        <v>0.05541319666880205</v>
      </c>
      <c r="E49" s="13">
        <f>J172+4/7*(J173-J172)</f>
        <v>0.9269464305531336</v>
      </c>
      <c r="F49" s="13">
        <f>K172+4/7*(K173-K172)</f>
        <v>0.4487096237096237</v>
      </c>
      <c r="G49" s="13">
        <f>M172+4/7*(M173-M172)</f>
        <v>0.7262306636495159</v>
      </c>
      <c r="H49" s="15" t="s">
        <v>10</v>
      </c>
      <c r="I49" s="19">
        <v>15</v>
      </c>
      <c r="J49" s="19">
        <v>15</v>
      </c>
      <c r="K49" s="19">
        <v>15</v>
      </c>
      <c r="L49" s="16">
        <f>AVERAGE(I49:K49)</f>
        <v>15</v>
      </c>
      <c r="M49" s="15" t="s">
        <v>10</v>
      </c>
      <c r="N49" s="19">
        <v>15</v>
      </c>
      <c r="O49" s="19">
        <v>15</v>
      </c>
      <c r="P49" s="19">
        <v>15</v>
      </c>
      <c r="Q49" s="16">
        <f>AVERAGE(N49:P49)</f>
        <v>15</v>
      </c>
    </row>
    <row r="50" ht="12.75">
      <c r="I50" s="2" t="s">
        <v>17</v>
      </c>
    </row>
    <row r="51" spans="9:14" ht="12.75">
      <c r="I51" s="2" t="s">
        <v>114</v>
      </c>
      <c r="N51" s="2" t="s">
        <v>1</v>
      </c>
    </row>
    <row r="52" spans="9:17" ht="12.75">
      <c r="I52" s="2" t="s">
        <v>115</v>
      </c>
      <c r="J52" s="2" t="s">
        <v>116</v>
      </c>
      <c r="K52" s="2" t="s">
        <v>0</v>
      </c>
      <c r="L52" s="2" t="s">
        <v>12</v>
      </c>
      <c r="N52" s="2" t="s">
        <v>115</v>
      </c>
      <c r="O52" s="2" t="s">
        <v>116</v>
      </c>
      <c r="P52" s="2" t="s">
        <v>0</v>
      </c>
      <c r="Q52" s="2" t="s">
        <v>12</v>
      </c>
    </row>
    <row r="53" spans="8:17" ht="12.75">
      <c r="H53" s="2" t="s">
        <v>13</v>
      </c>
      <c r="I53" s="10">
        <f>7*(I47-I45)</f>
        <v>165.7866325704971</v>
      </c>
      <c r="J53" s="10">
        <f>7*(J47-J45)</f>
        <v>149.48403040766317</v>
      </c>
      <c r="K53" s="10">
        <f>7*(K47-K45)</f>
        <v>141.0256891088554</v>
      </c>
      <c r="L53" s="10">
        <f>7*(L47-L45)</f>
        <v>152.09878402900523</v>
      </c>
      <c r="M53" s="10"/>
      <c r="N53" s="10">
        <f>7*(37+N47/7-N45)</f>
        <v>171.05805557658195</v>
      </c>
      <c r="O53" s="10">
        <f>7*(O47-O45)</f>
        <v>132.60573872872595</v>
      </c>
      <c r="P53" s="10">
        <f>7*(P47-P45)</f>
        <v>141.75005641779745</v>
      </c>
      <c r="Q53" s="10">
        <f>AVERAGE(N53:P53)</f>
        <v>148.47128357436844</v>
      </c>
    </row>
    <row r="54" spans="8:17" ht="12.75">
      <c r="H54" s="2" t="s">
        <v>14</v>
      </c>
      <c r="I54" s="10">
        <f>I48*365+(37-I47)*7</f>
        <v>2191.718500128519</v>
      </c>
      <c r="J54" s="10">
        <f>J48*365+(37-J47)*7</f>
        <v>1062.7152782682872</v>
      </c>
      <c r="K54" s="10">
        <f>K48*365+(37-K47)*7</f>
        <v>1536.4095115248722</v>
      </c>
      <c r="L54" s="10">
        <f>L48*365+(37-L47)*7</f>
        <v>1596.947763307226</v>
      </c>
      <c r="M54" s="10"/>
      <c r="N54" s="10">
        <f>N48*365-N47</f>
        <v>2997.2325098984693</v>
      </c>
      <c r="O54" s="10">
        <f>O48*365+(37-O47)*7</f>
        <v>1118.639544449358</v>
      </c>
      <c r="P54" s="10">
        <f>P48*365+(37-P47)*7</f>
        <v>1672.7704450818237</v>
      </c>
      <c r="Q54" s="10">
        <f>Q48*365+(37-Q47)*7</f>
        <v>1900.4266055409653</v>
      </c>
    </row>
    <row r="55" spans="8:17" ht="12.75">
      <c r="H55" s="2" t="s">
        <v>15</v>
      </c>
      <c r="I55" s="10">
        <f>365*(I49-I48)</f>
        <v>3278.4550393722507</v>
      </c>
      <c r="J55" s="10">
        <f>365*(J49-J48)</f>
        <v>4418.05913325618</v>
      </c>
      <c r="K55" s="10">
        <f>365*(K49-K48)</f>
        <v>3948.7100555212833</v>
      </c>
      <c r="L55" s="10">
        <f>365*(L49-L48)</f>
        <v>3881.7414093832376</v>
      </c>
      <c r="M55" s="10"/>
      <c r="N55" s="10">
        <f>365*(N49-N48)</f>
        <v>2453.8068088678574</v>
      </c>
      <c r="O55" s="10">
        <f>365*(O49-O48)</f>
        <v>4377.137793011942</v>
      </c>
      <c r="P55" s="10">
        <f>365*(P49-P48)</f>
        <v>3820.8935377962844</v>
      </c>
      <c r="Q55" s="10">
        <f>365*(Q49-Q48)</f>
        <v>3550.612713225362</v>
      </c>
    </row>
    <row r="56" spans="8:17" ht="12.75">
      <c r="H56" s="2" t="s">
        <v>16</v>
      </c>
      <c r="I56" s="10">
        <f>365*70-I49</f>
        <v>25535</v>
      </c>
      <c r="J56" s="10">
        <f>365*70-J49</f>
        <v>25535</v>
      </c>
      <c r="K56" s="10">
        <f>365*70-K49</f>
        <v>25535</v>
      </c>
      <c r="L56" s="10">
        <f>365*70-L49</f>
        <v>25535</v>
      </c>
      <c r="M56" s="10"/>
      <c r="N56" s="10">
        <f>365*70-N49</f>
        <v>25535</v>
      </c>
      <c r="O56" s="10">
        <f>365*70-O49</f>
        <v>25535</v>
      </c>
      <c r="P56" s="10">
        <f>365*70-P49</f>
        <v>25535</v>
      </c>
      <c r="Q56" s="10">
        <f>365*70-Q49</f>
        <v>25535</v>
      </c>
    </row>
    <row r="57" spans="8:17" ht="12.75">
      <c r="H57" s="2" t="s">
        <v>18</v>
      </c>
      <c r="I57" s="10">
        <f>SUM(I53:I56)</f>
        <v>31170.960172071267</v>
      </c>
      <c r="J57" s="10">
        <f>SUM(J53:J56)</f>
        <v>31165.25844193213</v>
      </c>
      <c r="K57" s="10">
        <f>SUM(K53:K56)</f>
        <v>31161.14525615501</v>
      </c>
      <c r="L57" s="10">
        <f>SUM(L53:L56)</f>
        <v>31165.78795671947</v>
      </c>
      <c r="M57" s="10"/>
      <c r="N57" s="10">
        <f>SUM(N53:N56)</f>
        <v>31157.09737434291</v>
      </c>
      <c r="O57" s="10">
        <f>SUM(O53:O56)</f>
        <v>31163.383076190024</v>
      </c>
      <c r="P57" s="10">
        <f>SUM(P53:P56)</f>
        <v>31170.414039295905</v>
      </c>
      <c r="Q57" s="10">
        <f>SUM(Q53:Q56)</f>
        <v>31134.510602340695</v>
      </c>
    </row>
    <row r="58" spans="9:17" ht="12.75"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21"/>
      <c r="B59" s="21"/>
      <c r="C59" s="57" t="s">
        <v>22</v>
      </c>
      <c r="D59" s="57"/>
      <c r="E59" s="57"/>
      <c r="F59" s="57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24.75">
      <c r="A60" s="21" t="s">
        <v>25</v>
      </c>
      <c r="B60" s="28" t="s">
        <v>8</v>
      </c>
      <c r="C60" s="28" t="s">
        <v>115</v>
      </c>
      <c r="D60" s="28" t="s">
        <v>116</v>
      </c>
      <c r="E60" s="28" t="s">
        <v>0</v>
      </c>
      <c r="F60" s="28" t="s">
        <v>12</v>
      </c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2.75">
      <c r="A61" s="21" t="s">
        <v>2</v>
      </c>
      <c r="B61" s="22" t="s">
        <v>9</v>
      </c>
      <c r="C61" s="23">
        <v>14.0056897041047</v>
      </c>
      <c r="D61" s="23">
        <v>14.82022258112423</v>
      </c>
      <c r="E61" s="23">
        <v>15.40782054928415</v>
      </c>
      <c r="F61" s="23">
        <v>14.74457761150436</v>
      </c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2.75">
      <c r="A62" s="21" t="s">
        <v>3</v>
      </c>
      <c r="B62" s="22" t="s">
        <v>9</v>
      </c>
      <c r="C62" s="23">
        <v>37.689494357032856</v>
      </c>
      <c r="D62" s="23">
        <v>36.175084067933255</v>
      </c>
      <c r="E62" s="23">
        <v>35.55434756483492</v>
      </c>
      <c r="F62" s="23">
        <f>AVERAGE(C62:E62)</f>
        <v>36.47297532993368</v>
      </c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2.75">
      <c r="A63" s="21" t="s">
        <v>4</v>
      </c>
      <c r="B63" s="24" t="s">
        <v>10</v>
      </c>
      <c r="C63" s="25">
        <v>6.017931398980134</v>
      </c>
      <c r="D63" s="23">
        <v>2.8957284020378626</v>
      </c>
      <c r="E63" s="25">
        <v>4.1816162862430595</v>
      </c>
      <c r="F63" s="23">
        <f>AVERAGE(C63:E63)</f>
        <v>4.365092029087019</v>
      </c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2.75">
      <c r="A64" s="21" t="s">
        <v>113</v>
      </c>
      <c r="B64" s="24" t="s">
        <v>10</v>
      </c>
      <c r="C64" s="26">
        <v>15</v>
      </c>
      <c r="D64" s="26">
        <v>15</v>
      </c>
      <c r="E64" s="26">
        <v>15</v>
      </c>
      <c r="F64" s="23">
        <f>AVERAGE(C64:E64)</f>
        <v>15</v>
      </c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2.75">
      <c r="A65" s="21"/>
      <c r="B65" s="21"/>
      <c r="C65" s="21"/>
      <c r="D65" s="21"/>
      <c r="E65" s="21"/>
      <c r="F65" s="21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2.75">
      <c r="A66" s="21"/>
      <c r="B66" s="21"/>
      <c r="C66" s="57" t="s">
        <v>23</v>
      </c>
      <c r="D66" s="57"/>
      <c r="E66" s="57"/>
      <c r="F66" s="57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24.75">
      <c r="A67" s="21" t="s">
        <v>24</v>
      </c>
      <c r="B67" s="28" t="s">
        <v>8</v>
      </c>
      <c r="C67" s="28" t="s">
        <v>115</v>
      </c>
      <c r="D67" s="28" t="s">
        <v>116</v>
      </c>
      <c r="E67" s="28" t="s">
        <v>0</v>
      </c>
      <c r="F67" s="28" t="s">
        <v>12</v>
      </c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2.75">
      <c r="A68" s="21" t="s">
        <v>2</v>
      </c>
      <c r="B68" s="22" t="s">
        <v>9</v>
      </c>
      <c r="C68" s="23">
        <v>15.986089379584481</v>
      </c>
      <c r="D68" s="23">
        <v>15.088131972853393</v>
      </c>
      <c r="E68" s="23">
        <v>14.083708672013445</v>
      </c>
      <c r="F68" s="23">
        <v>15.052643341483773</v>
      </c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24.75">
      <c r="A69" s="21" t="s">
        <v>3</v>
      </c>
      <c r="B69" s="22" t="s">
        <v>21</v>
      </c>
      <c r="C69" s="27" t="s">
        <v>20</v>
      </c>
      <c r="D69" s="23">
        <v>34.031808934099956</v>
      </c>
      <c r="E69" s="23">
        <v>34.33371673169879</v>
      </c>
      <c r="F69" s="23">
        <v>40.42295446195333</v>
      </c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2.75">
      <c r="A70" s="21" t="s">
        <v>4</v>
      </c>
      <c r="B70" s="24" t="s">
        <v>10</v>
      </c>
      <c r="C70" s="23">
        <v>8.277241619540117</v>
      </c>
      <c r="D70" s="23">
        <v>3.0078416629809803</v>
      </c>
      <c r="E70" s="23">
        <v>4.531798526585521</v>
      </c>
      <c r="F70" s="23">
        <v>5.272293936368873</v>
      </c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2.75">
      <c r="A71" s="21" t="s">
        <v>113</v>
      </c>
      <c r="B71" s="24" t="s">
        <v>10</v>
      </c>
      <c r="C71" s="26">
        <v>15</v>
      </c>
      <c r="D71" s="26">
        <v>15</v>
      </c>
      <c r="E71" s="26">
        <v>15</v>
      </c>
      <c r="F71" s="26">
        <v>15</v>
      </c>
      <c r="I71" s="10"/>
      <c r="J71" s="10"/>
      <c r="K71" s="10"/>
      <c r="L71" s="10"/>
      <c r="M71" s="10"/>
      <c r="N71" s="10"/>
      <c r="O71" s="10"/>
      <c r="P71" s="10"/>
      <c r="Q71" s="10"/>
    </row>
    <row r="72" spans="9:17" ht="12.75">
      <c r="I72" s="10"/>
      <c r="J72" s="10"/>
      <c r="K72" s="10"/>
      <c r="L72" s="10"/>
      <c r="M72" s="10"/>
      <c r="N72" s="10"/>
      <c r="O72" s="10"/>
      <c r="P72" s="10"/>
      <c r="Q72" s="10"/>
    </row>
    <row r="73" spans="9:17" ht="12.75">
      <c r="I73" s="10"/>
      <c r="J73" s="10"/>
      <c r="K73" s="10"/>
      <c r="L73" s="10"/>
      <c r="M73" s="10"/>
      <c r="N73" s="10"/>
      <c r="O73" s="10"/>
      <c r="P73" s="10"/>
      <c r="Q73" s="10"/>
    </row>
    <row r="74" spans="9:17" ht="12.75">
      <c r="I74" s="10"/>
      <c r="J74" s="10"/>
      <c r="K74" s="10"/>
      <c r="L74" s="10"/>
      <c r="M74" s="10"/>
      <c r="N74" s="10"/>
      <c r="O74" s="10"/>
      <c r="P74" s="10"/>
      <c r="Q74" s="10"/>
    </row>
    <row r="75" spans="9:17" ht="12.75">
      <c r="I75" s="10"/>
      <c r="J75" s="10"/>
      <c r="K75" s="10"/>
      <c r="L75" s="10"/>
      <c r="M75" s="10"/>
      <c r="N75" s="10"/>
      <c r="O75" s="10"/>
      <c r="P75" s="10"/>
      <c r="Q75" s="10"/>
    </row>
    <row r="76" spans="9:17" ht="12.75">
      <c r="I76" s="10"/>
      <c r="J76" s="10"/>
      <c r="K76" s="10"/>
      <c r="L76" s="10"/>
      <c r="M76" s="10"/>
      <c r="N76" s="10"/>
      <c r="O76" s="10"/>
      <c r="P76" s="10"/>
      <c r="Q76" s="10"/>
    </row>
    <row r="77" spans="9:17" ht="12.75">
      <c r="I77" s="10"/>
      <c r="J77" s="10"/>
      <c r="K77" s="10"/>
      <c r="L77" s="10"/>
      <c r="M77" s="10"/>
      <c r="N77" s="10"/>
      <c r="O77" s="10"/>
      <c r="P77" s="10"/>
      <c r="Q77" s="10"/>
    </row>
    <row r="78" spans="9:17" ht="12.75">
      <c r="I78" s="10"/>
      <c r="J78" s="10"/>
      <c r="K78" s="10"/>
      <c r="L78" s="10"/>
      <c r="M78" s="10"/>
      <c r="N78" s="10"/>
      <c r="O78" s="10"/>
      <c r="P78" s="10"/>
      <c r="Q78" s="10"/>
    </row>
    <row r="79" spans="9:17" ht="12.75">
      <c r="I79" s="10"/>
      <c r="J79" s="10"/>
      <c r="K79" s="10"/>
      <c r="L79" s="10"/>
      <c r="M79" s="10"/>
      <c r="N79" s="10"/>
      <c r="O79" s="10"/>
      <c r="P79" s="10"/>
      <c r="Q79" s="10"/>
    </row>
    <row r="80" spans="9:17" ht="12.75">
      <c r="I80" s="10"/>
      <c r="J80" s="10"/>
      <c r="K80" s="10"/>
      <c r="L80" s="10"/>
      <c r="M80" s="10"/>
      <c r="N80" s="10"/>
      <c r="O80" s="10"/>
      <c r="P80" s="10"/>
      <c r="Q80" s="10"/>
    </row>
    <row r="81" spans="9:17" ht="12.75">
      <c r="I81" s="10"/>
      <c r="J81" s="10"/>
      <c r="K81" s="10"/>
      <c r="L81" s="10"/>
      <c r="M81" s="10"/>
      <c r="N81" s="10"/>
      <c r="O81" s="10"/>
      <c r="P81" s="10"/>
      <c r="Q81" s="10"/>
    </row>
    <row r="82" spans="9:17" ht="12.75">
      <c r="I82" s="10"/>
      <c r="J82" s="10"/>
      <c r="K82" s="10"/>
      <c r="L82" s="10"/>
      <c r="M82" s="10"/>
      <c r="N82" s="10"/>
      <c r="O82" s="10"/>
      <c r="P82" s="10"/>
      <c r="Q82" s="10"/>
    </row>
    <row r="83" spans="9:17" ht="12.75">
      <c r="I83" s="10"/>
      <c r="J83" s="10"/>
      <c r="K83" s="10"/>
      <c r="L83" s="10"/>
      <c r="M83" s="10"/>
      <c r="N83" s="10"/>
      <c r="O83" s="10"/>
      <c r="P83" s="10"/>
      <c r="Q83" s="10"/>
    </row>
    <row r="84" spans="9:17" ht="12.75">
      <c r="I84" s="10"/>
      <c r="J84" s="10"/>
      <c r="K84" s="10"/>
      <c r="L84" s="10"/>
      <c r="M84" s="10"/>
      <c r="N84" s="10"/>
      <c r="O84" s="10"/>
      <c r="P84" s="10"/>
      <c r="Q84" s="10"/>
    </row>
    <row r="85" spans="9:17" ht="12.75">
      <c r="I85" s="10"/>
      <c r="J85" s="10"/>
      <c r="K85" s="10"/>
      <c r="L85" s="10"/>
      <c r="M85" s="10"/>
      <c r="N85" s="10"/>
      <c r="O85" s="10"/>
      <c r="P85" s="10"/>
      <c r="Q85" s="10"/>
    </row>
    <row r="86" spans="9:17" ht="12.75">
      <c r="I86" s="10"/>
      <c r="J86" s="10"/>
      <c r="K86" s="10"/>
      <c r="L86" s="10"/>
      <c r="M86" s="10"/>
      <c r="N86" s="10"/>
      <c r="O86" s="10"/>
      <c r="P86" s="10"/>
      <c r="Q86" s="10"/>
    </row>
    <row r="87" spans="9:17" ht="12.75">
      <c r="I87" s="10"/>
      <c r="J87" s="10"/>
      <c r="K87" s="10"/>
      <c r="L87" s="10"/>
      <c r="M87" s="10"/>
      <c r="N87" s="10"/>
      <c r="O87" s="10"/>
      <c r="P87" s="10"/>
      <c r="Q87" s="10"/>
    </row>
    <row r="88" spans="9:17" ht="12.75">
      <c r="I88" s="10"/>
      <c r="J88" s="10"/>
      <c r="K88" s="10"/>
      <c r="L88" s="10"/>
      <c r="M88" s="10"/>
      <c r="N88" s="10"/>
      <c r="O88" s="10"/>
      <c r="P88" s="10"/>
      <c r="Q88" s="10"/>
    </row>
    <row r="89" spans="9:17" ht="12.75">
      <c r="I89" s="10"/>
      <c r="J89" s="10"/>
      <c r="K89" s="10"/>
      <c r="L89" s="10"/>
      <c r="M89" s="10"/>
      <c r="N89" s="10"/>
      <c r="O89" s="10"/>
      <c r="P89" s="10"/>
      <c r="Q89" s="10"/>
    </row>
    <row r="90" spans="9:17" ht="12.75">
      <c r="I90" s="10"/>
      <c r="J90" s="10"/>
      <c r="K90" s="10"/>
      <c r="L90" s="10"/>
      <c r="M90" s="10"/>
      <c r="N90" s="10"/>
      <c r="O90" s="10"/>
      <c r="P90" s="10"/>
      <c r="Q90" s="10"/>
    </row>
    <row r="91" spans="9:17" ht="12.75">
      <c r="I91" s="9"/>
      <c r="J91" s="9"/>
      <c r="K91" s="9"/>
      <c r="L91" s="9"/>
      <c r="M91" s="9"/>
      <c r="N91" s="9"/>
      <c r="O91" s="9"/>
      <c r="P91" s="9"/>
      <c r="Q91" s="9"/>
    </row>
    <row r="92" ht="12.75">
      <c r="A92" t="s">
        <v>99</v>
      </c>
    </row>
    <row r="93" ht="12.75">
      <c r="A93"/>
    </row>
    <row r="94" ht="12.75">
      <c r="A94" t="s">
        <v>100</v>
      </c>
    </row>
    <row r="95" spans="10:18" ht="12.75">
      <c r="J95" s="2" t="s">
        <v>86</v>
      </c>
      <c r="R95" s="2" t="s">
        <v>86</v>
      </c>
    </row>
    <row r="96" spans="1:18" ht="12.75">
      <c r="A96" s="2" t="s">
        <v>86</v>
      </c>
      <c r="J96" s="2" t="s">
        <v>111</v>
      </c>
      <c r="R96" s="2" t="s">
        <v>112</v>
      </c>
    </row>
    <row r="97" spans="1:25" ht="12.75">
      <c r="A97" s="2" t="s">
        <v>85</v>
      </c>
      <c r="B97" t="s">
        <v>97</v>
      </c>
      <c r="C97" t="s">
        <v>90</v>
      </c>
      <c r="D97" t="s">
        <v>87</v>
      </c>
      <c r="E97" t="s">
        <v>88</v>
      </c>
      <c r="F97" t="s">
        <v>89</v>
      </c>
      <c r="G97" t="s">
        <v>91</v>
      </c>
      <c r="H97" t="s">
        <v>92</v>
      </c>
      <c r="I97" t="s">
        <v>98</v>
      </c>
      <c r="J97" t="s">
        <v>97</v>
      </c>
      <c r="K97" t="s">
        <v>90</v>
      </c>
      <c r="L97" t="s">
        <v>87</v>
      </c>
      <c r="M97" t="s">
        <v>88</v>
      </c>
      <c r="N97" t="s">
        <v>89</v>
      </c>
      <c r="O97" t="s">
        <v>91</v>
      </c>
      <c r="P97" t="s">
        <v>92</v>
      </c>
      <c r="Q97" t="s">
        <v>98</v>
      </c>
      <c r="R97" t="s">
        <v>97</v>
      </c>
      <c r="S97" t="s">
        <v>90</v>
      </c>
      <c r="T97" t="s">
        <v>87</v>
      </c>
      <c r="U97" t="s">
        <v>88</v>
      </c>
      <c r="V97" t="s">
        <v>89</v>
      </c>
      <c r="W97" t="s">
        <v>91</v>
      </c>
      <c r="X97" t="s">
        <v>92</v>
      </c>
      <c r="Y97" t="s">
        <v>98</v>
      </c>
    </row>
    <row r="98" spans="1:25" ht="12.75">
      <c r="A98" s="3">
        <v>12</v>
      </c>
      <c r="B98" s="4">
        <v>21.275</v>
      </c>
      <c r="J98" s="2">
        <f>IF(B98="","",B98/B$120)</f>
        <v>0.0005413486005089058</v>
      </c>
      <c r="K98" s="2">
        <f aca="true" t="shared" si="0" ref="K98:Q113">IF(C98="","",C98/C$120)</f>
      </c>
      <c r="L98" s="2">
        <f t="shared" si="0"/>
      </c>
      <c r="M98" s="2">
        <f t="shared" si="0"/>
      </c>
      <c r="N98" s="2">
        <f t="shared" si="0"/>
      </c>
      <c r="O98" s="2">
        <f t="shared" si="0"/>
      </c>
      <c r="P98" s="2">
        <f t="shared" si="0"/>
      </c>
      <c r="Q98" s="2">
        <f t="shared" si="0"/>
      </c>
      <c r="R98" s="2">
        <f>IF(J98="","",LOG(J98))</f>
        <v>-3.2665229816188015</v>
      </c>
      <c r="S98" s="2">
        <f aca="true" t="shared" si="1" ref="S98:Y113">IF(K98="","",LOG(K98))</f>
      </c>
      <c r="T98" s="2">
        <f t="shared" si="1"/>
      </c>
      <c r="U98" s="2">
        <f t="shared" si="1"/>
      </c>
      <c r="V98" s="2">
        <f t="shared" si="1"/>
      </c>
      <c r="W98" s="2">
        <f t="shared" si="1"/>
      </c>
      <c r="X98" s="2">
        <f t="shared" si="1"/>
      </c>
      <c r="Y98" s="2">
        <f t="shared" si="1"/>
      </c>
    </row>
    <row r="99" spans="1:25" ht="12.75">
      <c r="A99" s="3">
        <v>13</v>
      </c>
      <c r="B99" s="4">
        <v>67.87</v>
      </c>
      <c r="C99" s="2">
        <v>6.495</v>
      </c>
      <c r="E99" s="2">
        <v>5.5265</v>
      </c>
      <c r="F99" s="2">
        <v>0.3651</v>
      </c>
      <c r="J99" s="2">
        <f aca="true" t="shared" si="2" ref="J99:J120">IF(B99="","",B99/B$120)</f>
        <v>0.0017269720101781173</v>
      </c>
      <c r="K99" s="2">
        <f t="shared" si="0"/>
        <v>0.014468701269770552</v>
      </c>
      <c r="L99" s="2">
        <f t="shared" si="0"/>
      </c>
      <c r="M99" s="2">
        <f t="shared" si="0"/>
        <v>0.0034093152375077114</v>
      </c>
      <c r="N99" s="2">
        <f t="shared" si="0"/>
        <v>0.001887797311271975</v>
      </c>
      <c r="O99" s="2">
        <f t="shared" si="0"/>
      </c>
      <c r="P99" s="2">
        <f t="shared" si="0"/>
      </c>
      <c r="Q99" s="2">
        <f t="shared" si="0"/>
      </c>
      <c r="R99" s="2">
        <f aca="true" t="shared" si="3" ref="R99:R120">IF(J99="","",LOG(J99))</f>
        <v>-2.76271470118396</v>
      </c>
      <c r="S99" s="2">
        <f t="shared" si="1"/>
        <v>-1.839570449992606</v>
      </c>
      <c r="T99" s="2">
        <f t="shared" si="1"/>
      </c>
      <c r="U99" s="2">
        <f t="shared" si="1"/>
        <v>-2.467332840489945</v>
      </c>
      <c r="V99" s="2">
        <f t="shared" si="1"/>
        <v>-2.7240446367972555</v>
      </c>
      <c r="W99" s="2">
        <f t="shared" si="1"/>
      </c>
      <c r="X99" s="2">
        <f t="shared" si="1"/>
      </c>
      <c r="Y99" s="2">
        <f t="shared" si="1"/>
      </c>
    </row>
    <row r="100" spans="1:25" ht="12.75">
      <c r="A100" s="3">
        <v>14</v>
      </c>
      <c r="B100" s="4">
        <v>205.7</v>
      </c>
      <c r="C100" s="2">
        <v>15.77</v>
      </c>
      <c r="D100" s="2">
        <v>0.2568</v>
      </c>
      <c r="E100" s="2">
        <v>20.57</v>
      </c>
      <c r="F100" s="2">
        <v>2.683</v>
      </c>
      <c r="J100" s="2">
        <f t="shared" si="2"/>
        <v>0.005234096692111959</v>
      </c>
      <c r="K100" s="2">
        <f t="shared" si="0"/>
        <v>0.03513031855647138</v>
      </c>
      <c r="L100" s="2">
        <f t="shared" si="0"/>
        <v>0.0008907388137356919</v>
      </c>
      <c r="M100" s="2">
        <f t="shared" si="0"/>
        <v>0.01268969771745836</v>
      </c>
      <c r="N100" s="2">
        <f t="shared" si="0"/>
        <v>0.01387280248190279</v>
      </c>
      <c r="O100" s="2">
        <f t="shared" si="0"/>
      </c>
      <c r="P100" s="2">
        <f t="shared" si="0"/>
      </c>
      <c r="Q100" s="2">
        <f t="shared" si="0"/>
      </c>
      <c r="R100" s="2">
        <f t="shared" si="3"/>
        <v>-2.2811582586807027</v>
      </c>
      <c r="S100" s="2">
        <f t="shared" si="1"/>
        <v>-1.45431791207275</v>
      </c>
      <c r="T100" s="2">
        <f t="shared" si="1"/>
        <v>-3.0502496229913922</v>
      </c>
      <c r="U100" s="2">
        <f t="shared" si="1"/>
        <v>-1.8965487231537907</v>
      </c>
      <c r="V100" s="2">
        <f t="shared" si="1"/>
        <v>-1.8578357970750439</v>
      </c>
      <c r="W100" s="2">
        <f t="shared" si="1"/>
      </c>
      <c r="X100" s="2">
        <f t="shared" si="1"/>
      </c>
      <c r="Y100" s="2">
        <f t="shared" si="1"/>
      </c>
    </row>
    <row r="101" spans="1:25" ht="12.75">
      <c r="A101" s="3">
        <v>15</v>
      </c>
      <c r="B101" s="4">
        <v>546.9</v>
      </c>
      <c r="C101" s="2">
        <v>36.7</v>
      </c>
      <c r="D101" s="2">
        <v>0.7784</v>
      </c>
      <c r="E101" s="2">
        <v>36.65</v>
      </c>
      <c r="F101" s="2">
        <v>9.440999999999999</v>
      </c>
      <c r="G101" s="2">
        <v>0.3508</v>
      </c>
      <c r="H101" s="2">
        <v>0.2935</v>
      </c>
      <c r="J101" s="2">
        <f t="shared" si="2"/>
        <v>0.013916030534351144</v>
      </c>
      <c r="K101" s="2">
        <f t="shared" si="0"/>
        <v>0.08175540209400758</v>
      </c>
      <c r="L101" s="2">
        <f t="shared" si="0"/>
        <v>0.002699965313909122</v>
      </c>
      <c r="M101" s="2">
        <f t="shared" si="0"/>
        <v>0.02260950030845157</v>
      </c>
      <c r="N101" s="2">
        <f t="shared" si="0"/>
        <v>0.04881592554291623</v>
      </c>
      <c r="O101" s="2">
        <f t="shared" si="0"/>
        <v>0.0026984615384615385</v>
      </c>
      <c r="P101" s="2">
        <f t="shared" si="0"/>
        <v>0.005727946916471506</v>
      </c>
      <c r="Q101" s="2">
        <f t="shared" si="0"/>
      </c>
      <c r="R101" s="2">
        <f t="shared" si="3"/>
        <v>-1.856484627000788</v>
      </c>
      <c r="S101" s="2">
        <f t="shared" si="1"/>
        <v>-1.0874835411495636</v>
      </c>
      <c r="T101" s="2">
        <f t="shared" si="1"/>
        <v>-2.5686418151279122</v>
      </c>
      <c r="U101" s="2">
        <f t="shared" si="1"/>
        <v>-1.6457090358713682</v>
      </c>
      <c r="V101" s="2">
        <f t="shared" si="1"/>
        <v>-1.3114384721141001</v>
      </c>
      <c r="W101" s="2">
        <f t="shared" si="1"/>
        <v>-2.5688837676128338</v>
      </c>
      <c r="X101" s="2">
        <f t="shared" si="1"/>
        <v>-2.2420010154890155</v>
      </c>
      <c r="Y101" s="2">
        <f t="shared" si="1"/>
      </c>
    </row>
    <row r="102" spans="1:25" ht="12.75">
      <c r="A102" s="3">
        <v>16</v>
      </c>
      <c r="B102" s="4">
        <v>1113</v>
      </c>
      <c r="C102" s="2">
        <v>47.94</v>
      </c>
      <c r="D102" s="2">
        <v>1.514</v>
      </c>
      <c r="E102" s="2">
        <v>63.515</v>
      </c>
      <c r="G102" s="2">
        <v>0.8523</v>
      </c>
      <c r="H102" s="2">
        <v>0.73895</v>
      </c>
      <c r="J102" s="2">
        <f t="shared" si="2"/>
        <v>0.0283206106870229</v>
      </c>
      <c r="K102" s="2">
        <f t="shared" si="0"/>
        <v>0.10679438627756739</v>
      </c>
      <c r="L102" s="2">
        <f t="shared" si="0"/>
        <v>0.0052514741588622965</v>
      </c>
      <c r="M102" s="2">
        <f t="shared" si="0"/>
        <v>0.03918260333127699</v>
      </c>
      <c r="N102" s="2">
        <f t="shared" si="0"/>
      </c>
      <c r="O102" s="2">
        <f t="shared" si="0"/>
        <v>0.006556153846153846</v>
      </c>
      <c r="P102" s="2">
        <f t="shared" si="0"/>
        <v>0.01442135050741608</v>
      </c>
      <c r="Q102" s="2">
        <f t="shared" si="0"/>
      </c>
      <c r="R102" s="2">
        <f t="shared" si="3"/>
        <v>-1.5478973860407184</v>
      </c>
      <c r="S102" s="2">
        <f t="shared" si="1"/>
        <v>-0.9714515757040177</v>
      </c>
      <c r="T102" s="2">
        <f t="shared" si="1"/>
        <v>-2.279718767224154</v>
      </c>
      <c r="U102" s="2">
        <f t="shared" si="1"/>
        <v>-1.4069067124237782</v>
      </c>
      <c r="V102" s="2">
        <f t="shared" si="1"/>
      </c>
      <c r="W102" s="2">
        <f t="shared" si="1"/>
        <v>-2.1833508638642383</v>
      </c>
      <c r="X102" s="2">
        <f t="shared" si="1"/>
        <v>-1.8409940676016747</v>
      </c>
      <c r="Y102" s="2">
        <f t="shared" si="1"/>
      </c>
    </row>
    <row r="103" spans="1:25" ht="12.75">
      <c r="A103" s="3">
        <v>17</v>
      </c>
      <c r="C103" s="2">
        <v>59.9</v>
      </c>
      <c r="D103" s="2">
        <v>2.259</v>
      </c>
      <c r="F103" s="2">
        <v>28.24</v>
      </c>
      <c r="J103" s="2">
        <f t="shared" si="2"/>
      </c>
      <c r="K103" s="2">
        <f t="shared" si="0"/>
        <v>0.13343729115615952</v>
      </c>
      <c r="L103" s="2">
        <f t="shared" si="0"/>
        <v>0.007835587929240374</v>
      </c>
      <c r="M103" s="2">
        <f t="shared" si="0"/>
      </c>
      <c r="N103" s="2">
        <f t="shared" si="0"/>
        <v>0.14601861427094104</v>
      </c>
      <c r="O103" s="2">
        <f t="shared" si="0"/>
      </c>
      <c r="P103" s="2">
        <f t="shared" si="0"/>
      </c>
      <c r="Q103" s="2">
        <f t="shared" si="0"/>
      </c>
      <c r="R103" s="2">
        <f t="shared" si="3"/>
      </c>
      <c r="S103" s="2">
        <f t="shared" si="1"/>
        <v>-0.8747227830123414</v>
      </c>
      <c r="T103" s="2">
        <f t="shared" si="1"/>
        <v>-2.1059284114678447</v>
      </c>
      <c r="U103" s="2">
        <f t="shared" si="1"/>
      </c>
      <c r="V103" s="2">
        <f t="shared" si="1"/>
        <v>-0.8355917773672167</v>
      </c>
      <c r="W103" s="2">
        <f t="shared" si="1"/>
      </c>
      <c r="X103" s="2">
        <f t="shared" si="1"/>
      </c>
      <c r="Y103" s="2">
        <f t="shared" si="1"/>
      </c>
    </row>
    <row r="104" spans="1:25" ht="12.75">
      <c r="A104" s="3">
        <v>18</v>
      </c>
      <c r="B104" s="4">
        <v>1394</v>
      </c>
      <c r="C104" s="2">
        <v>71.66</v>
      </c>
      <c r="E104" s="2">
        <v>95.655</v>
      </c>
      <c r="J104" s="2">
        <f t="shared" si="2"/>
        <v>0.035470737913486004</v>
      </c>
      <c r="K104" s="2">
        <f t="shared" si="0"/>
        <v>0.15963466250835376</v>
      </c>
      <c r="L104" s="2">
        <f t="shared" si="0"/>
      </c>
      <c r="M104" s="2">
        <f t="shared" si="0"/>
        <v>0.0590098704503393</v>
      </c>
      <c r="N104" s="2">
        <f t="shared" si="0"/>
      </c>
      <c r="O104" s="2">
        <f t="shared" si="0"/>
      </c>
      <c r="P104" s="2">
        <f t="shared" si="0"/>
      </c>
      <c r="Q104" s="2">
        <f t="shared" si="0"/>
      </c>
      <c r="R104" s="2">
        <f t="shared" si="3"/>
        <v>-1.4501297766134362</v>
      </c>
      <c r="S104" s="2">
        <f t="shared" si="1"/>
        <v>-0.796872801571561</v>
      </c>
      <c r="T104" s="2">
        <f t="shared" si="1"/>
      </c>
      <c r="U104" s="2">
        <f t="shared" si="1"/>
        <v>-1.2290753388055786</v>
      </c>
      <c r="V104" s="2">
        <f t="shared" si="1"/>
      </c>
      <c r="W104" s="2">
        <f t="shared" si="1"/>
      </c>
      <c r="X104" s="2">
        <f t="shared" si="1"/>
      </c>
      <c r="Y104" s="2">
        <f t="shared" si="1"/>
      </c>
    </row>
    <row r="105" spans="1:25" ht="12.75">
      <c r="A105" s="3">
        <v>19</v>
      </c>
      <c r="B105" s="4">
        <v>1594</v>
      </c>
      <c r="C105" s="2">
        <v>78.52</v>
      </c>
      <c r="D105" s="2">
        <v>3.538</v>
      </c>
      <c r="E105" s="2">
        <v>98.05</v>
      </c>
      <c r="F105" s="2">
        <v>33.83</v>
      </c>
      <c r="H105" s="2">
        <v>4.223</v>
      </c>
      <c r="J105" s="2">
        <f t="shared" si="2"/>
        <v>0.040559796437659036</v>
      </c>
      <c r="K105" s="2">
        <f t="shared" si="0"/>
        <v>0.1749164624638004</v>
      </c>
      <c r="L105" s="2">
        <f t="shared" si="0"/>
        <v>0.012271938952480054</v>
      </c>
      <c r="M105" s="2">
        <f t="shared" si="0"/>
        <v>0.06048735348550278</v>
      </c>
      <c r="N105" s="2">
        <f t="shared" si="0"/>
        <v>0.17492244053774558</v>
      </c>
      <c r="O105" s="2">
        <f t="shared" si="0"/>
      </c>
      <c r="P105" s="2">
        <f t="shared" si="0"/>
        <v>0.08241608118657298</v>
      </c>
      <c r="Q105" s="2">
        <f t="shared" si="0"/>
      </c>
      <c r="R105" s="2">
        <f t="shared" si="3"/>
        <v>-1.391904233315333</v>
      </c>
      <c r="S105" s="2">
        <f t="shared" si="1"/>
        <v>-0.7571693144736842</v>
      </c>
      <c r="T105" s="2">
        <f t="shared" si="1"/>
        <v>-1.9110868138145034</v>
      </c>
      <c r="U105" s="2">
        <f t="shared" si="1"/>
        <v>-1.218335416844712</v>
      </c>
      <c r="V105" s="2">
        <f t="shared" si="1"/>
        <v>-0.7571544719590023</v>
      </c>
      <c r="W105" s="2">
        <f t="shared" si="1"/>
      </c>
      <c r="X105" s="2">
        <f t="shared" si="1"/>
        <v>-1.083988039647741</v>
      </c>
      <c r="Y105" s="2">
        <f t="shared" si="1"/>
      </c>
    </row>
    <row r="106" spans="1:25" s="6" customFormat="1" ht="12.75">
      <c r="A106" s="7">
        <v>20</v>
      </c>
      <c r="B106" s="5">
        <v>1598</v>
      </c>
      <c r="C106" s="6">
        <v>112.2</v>
      </c>
      <c r="D106" s="6">
        <v>4.226</v>
      </c>
      <c r="F106" s="6">
        <v>37.02</v>
      </c>
      <c r="G106" s="6">
        <v>3.863</v>
      </c>
      <c r="J106" s="6">
        <f t="shared" si="2"/>
        <v>0.04066157760814249</v>
      </c>
      <c r="K106" s="6">
        <f t="shared" si="0"/>
        <v>0.24994430830920028</v>
      </c>
      <c r="L106" s="6">
        <f t="shared" si="0"/>
        <v>0.014658342004856053</v>
      </c>
      <c r="M106" s="6">
        <f t="shared" si="0"/>
      </c>
      <c r="N106" s="6">
        <f t="shared" si="0"/>
        <v>0.19141675284384696</v>
      </c>
      <c r="O106" s="6">
        <f t="shared" si="0"/>
        <v>0.029715384615384616</v>
      </c>
      <c r="P106" s="6">
        <f t="shared" si="0"/>
      </c>
      <c r="Q106" s="6">
        <f t="shared" si="0"/>
      </c>
      <c r="R106" s="6">
        <f t="shared" si="3"/>
        <v>-1.3908157753974542</v>
      </c>
      <c r="S106" s="6">
        <f t="shared" si="1"/>
        <v>-0.6021567484815102</v>
      </c>
      <c r="T106" s="6">
        <f t="shared" si="1"/>
        <v>-1.833915149671913</v>
      </c>
      <c r="U106" s="6">
        <f t="shared" si="1"/>
      </c>
      <c r="V106" s="6">
        <f t="shared" si="1"/>
        <v>-0.7180200553300975</v>
      </c>
      <c r="W106" s="6">
        <f t="shared" si="1"/>
        <v>-1.5270186441620164</v>
      </c>
      <c r="X106" s="6">
        <f t="shared" si="1"/>
      </c>
      <c r="Y106" s="6">
        <f t="shared" si="1"/>
      </c>
    </row>
    <row r="107" spans="1:25" ht="12.75">
      <c r="A107" s="3">
        <v>21</v>
      </c>
      <c r="B107" s="4">
        <v>1913</v>
      </c>
      <c r="D107" s="2">
        <v>11.75</v>
      </c>
      <c r="F107" s="2">
        <v>39.765</v>
      </c>
      <c r="J107" s="2">
        <f t="shared" si="2"/>
        <v>0.04867684478371501</v>
      </c>
      <c r="K107" s="2">
        <f t="shared" si="0"/>
      </c>
      <c r="L107" s="2">
        <f t="shared" si="0"/>
        <v>0.040756156781130766</v>
      </c>
      <c r="M107" s="2">
        <f t="shared" si="0"/>
      </c>
      <c r="N107" s="2">
        <f t="shared" si="0"/>
        <v>0.20561013443640125</v>
      </c>
      <c r="O107" s="2">
        <f t="shared" si="0"/>
      </c>
      <c r="P107" s="2">
        <f t="shared" si="0"/>
      </c>
      <c r="Q107" s="2">
        <f t="shared" si="0"/>
      </c>
      <c r="R107" s="2">
        <f t="shared" si="3"/>
        <v>-1.3126775803481308</v>
      </c>
      <c r="S107" s="2">
        <f t="shared" si="1"/>
      </c>
      <c r="T107" s="2">
        <f t="shared" si="1"/>
        <v>-1.3898067757804529</v>
      </c>
      <c r="U107" s="2">
        <f t="shared" si="1"/>
      </c>
      <c r="V107" s="2">
        <f t="shared" si="1"/>
        <v>-0.6869554829582082</v>
      </c>
      <c r="W107" s="2">
        <f t="shared" si="1"/>
      </c>
      <c r="X107" s="2">
        <f t="shared" si="1"/>
      </c>
      <c r="Y107" s="2">
        <f t="shared" si="1"/>
      </c>
    </row>
    <row r="108" spans="1:25" ht="12.75">
      <c r="A108" s="3">
        <v>22</v>
      </c>
      <c r="G108" s="2">
        <v>12.3</v>
      </c>
      <c r="J108" s="2">
        <f t="shared" si="2"/>
      </c>
      <c r="K108" s="2">
        <f t="shared" si="0"/>
      </c>
      <c r="L108" s="2">
        <f t="shared" si="0"/>
      </c>
      <c r="M108" s="2">
        <f t="shared" si="0"/>
      </c>
      <c r="N108" s="2">
        <f t="shared" si="0"/>
      </c>
      <c r="O108" s="2">
        <f t="shared" si="0"/>
        <v>0.09461538461538462</v>
      </c>
      <c r="P108" s="2">
        <f t="shared" si="0"/>
      </c>
      <c r="Q108" s="2">
        <f t="shared" si="0"/>
      </c>
      <c r="R108" s="2">
        <f t="shared" si="3"/>
      </c>
      <c r="S108" s="2">
        <f t="shared" si="1"/>
      </c>
      <c r="T108" s="2">
        <f t="shared" si="1"/>
      </c>
      <c r="U108" s="2">
        <f t="shared" si="1"/>
      </c>
      <c r="V108" s="2">
        <f t="shared" si="1"/>
      </c>
      <c r="W108" s="2">
        <f t="shared" si="1"/>
        <v>-1.0240382408674389</v>
      </c>
      <c r="X108" s="2">
        <f t="shared" si="1"/>
      </c>
      <c r="Y108" s="2">
        <f t="shared" si="1"/>
      </c>
    </row>
    <row r="109" spans="1:25" ht="12.75">
      <c r="A109" s="3">
        <v>23</v>
      </c>
      <c r="B109" s="4">
        <v>2505</v>
      </c>
      <c r="C109" s="2">
        <v>160.7</v>
      </c>
      <c r="D109" s="2">
        <v>13.46</v>
      </c>
      <c r="F109" s="2">
        <v>66.35</v>
      </c>
      <c r="H109" s="2">
        <v>10.79</v>
      </c>
      <c r="J109" s="2">
        <f t="shared" si="2"/>
        <v>0.06374045801526718</v>
      </c>
      <c r="K109" s="2">
        <f t="shared" si="0"/>
        <v>0.35798618846068164</v>
      </c>
      <c r="L109" s="2">
        <f t="shared" si="0"/>
        <v>0.0466874783211932</v>
      </c>
      <c r="M109" s="2">
        <f t="shared" si="0"/>
      </c>
      <c r="N109" s="2">
        <f t="shared" si="0"/>
        <v>0.343071354705274</v>
      </c>
      <c r="O109" s="2">
        <f t="shared" si="0"/>
      </c>
      <c r="P109" s="2">
        <f t="shared" si="0"/>
        <v>0.21057767369242777</v>
      </c>
      <c r="Q109" s="2">
        <f t="shared" si="0"/>
      </c>
      <c r="R109" s="2">
        <f t="shared" si="3"/>
        <v>-1.1955848201721622</v>
      </c>
      <c r="S109" s="2">
        <f t="shared" si="1"/>
        <v>-0.44613372863830836</v>
      </c>
      <c r="T109" s="2">
        <f t="shared" si="1"/>
        <v>-1.3307995825002499</v>
      </c>
      <c r="U109" s="2">
        <f t="shared" si="1"/>
      </c>
      <c r="V109" s="2">
        <f t="shared" si="1"/>
        <v>-0.4646155425465286</v>
      </c>
      <c r="W109" s="2">
        <f t="shared" si="1"/>
      </c>
      <c r="X109" s="2">
        <f t="shared" si="1"/>
        <v>-0.676587676389738</v>
      </c>
      <c r="Y109" s="2">
        <f t="shared" si="1"/>
      </c>
    </row>
    <row r="110" spans="1:25" ht="12.75">
      <c r="A110" s="3">
        <v>26</v>
      </c>
      <c r="B110" s="4">
        <v>4280</v>
      </c>
      <c r="C110" s="2">
        <v>220.1</v>
      </c>
      <c r="D110" s="2">
        <v>25.16</v>
      </c>
      <c r="E110" s="2">
        <v>129.4</v>
      </c>
      <c r="F110" s="2">
        <v>94.96</v>
      </c>
      <c r="J110" s="2">
        <f t="shared" si="2"/>
        <v>0.1089058524173028</v>
      </c>
      <c r="K110" s="2">
        <f t="shared" si="0"/>
        <v>0.4903096458008465</v>
      </c>
      <c r="L110" s="2">
        <f t="shared" si="0"/>
        <v>0.08727020464793618</v>
      </c>
      <c r="M110" s="2">
        <f t="shared" si="0"/>
        <v>0.07982726711906231</v>
      </c>
      <c r="N110" s="2">
        <f t="shared" si="0"/>
        <v>0.49100310237849015</v>
      </c>
      <c r="O110" s="2">
        <f t="shared" si="0"/>
      </c>
      <c r="P110" s="2">
        <f t="shared" si="0"/>
      </c>
      <c r="Q110" s="2">
        <f t="shared" si="0"/>
      </c>
      <c r="R110" s="2">
        <f t="shared" si="3"/>
        <v>-0.9629487813622546</v>
      </c>
      <c r="S110" s="2">
        <f t="shared" si="1"/>
        <v>-0.3095295628483049</v>
      </c>
      <c r="T110" s="2">
        <f t="shared" si="1"/>
        <v>-1.0591340056149765</v>
      </c>
      <c r="U110" s="2">
        <f t="shared" si="1"/>
        <v>-1.0978487385158333</v>
      </c>
      <c r="V110" s="2">
        <f t="shared" si="1"/>
        <v>-0.3089157638004481</v>
      </c>
      <c r="W110" s="2">
        <f t="shared" si="1"/>
      </c>
      <c r="X110" s="2">
        <f t="shared" si="1"/>
      </c>
      <c r="Y110" s="2">
        <f t="shared" si="1"/>
      </c>
    </row>
    <row r="111" spans="1:25" ht="12.75">
      <c r="A111" s="3">
        <v>27</v>
      </c>
      <c r="B111" s="4">
        <v>5353</v>
      </c>
      <c r="C111" s="2">
        <v>301.1</v>
      </c>
      <c r="D111" s="2">
        <v>42.89</v>
      </c>
      <c r="E111" s="2">
        <v>155</v>
      </c>
      <c r="F111" s="2">
        <v>91.11</v>
      </c>
      <c r="G111" s="2">
        <v>37.61</v>
      </c>
      <c r="H111" s="2">
        <v>24.12</v>
      </c>
      <c r="I111" s="3">
        <v>6.11</v>
      </c>
      <c r="J111" s="2">
        <f t="shared" si="2"/>
        <v>0.1362086513994911</v>
      </c>
      <c r="K111" s="2">
        <f t="shared" si="0"/>
        <v>0.6707507239919804</v>
      </c>
      <c r="L111" s="2">
        <f t="shared" si="0"/>
        <v>0.1487686437738467</v>
      </c>
      <c r="M111" s="2">
        <f t="shared" si="0"/>
        <v>0.09561998766193708</v>
      </c>
      <c r="N111" s="2">
        <f t="shared" si="0"/>
        <v>0.47109617373319546</v>
      </c>
      <c r="O111" s="2">
        <f t="shared" si="0"/>
        <v>0.2893076923076923</v>
      </c>
      <c r="P111" s="2">
        <f t="shared" si="0"/>
        <v>0.4707259953161593</v>
      </c>
      <c r="Q111" s="2">
        <f t="shared" si="0"/>
        <v>0.04710871241326138</v>
      </c>
      <c r="R111" s="2">
        <f t="shared" si="3"/>
        <v>-0.865795306991995</v>
      </c>
      <c r="S111" s="2">
        <f t="shared" si="1"/>
        <v>-0.17343884988889352</v>
      </c>
      <c r="T111" s="2">
        <f t="shared" si="1"/>
        <v>-0.8274885961491345</v>
      </c>
      <c r="U111" s="2">
        <f t="shared" si="1"/>
        <v>-1.0194513166782233</v>
      </c>
      <c r="V111" s="2">
        <f t="shared" si="1"/>
        <v>-0.3268904231090552</v>
      </c>
      <c r="W111" s="2">
        <f t="shared" si="1"/>
        <v>-0.5386400188844377</v>
      </c>
      <c r="X111" s="2">
        <f t="shared" si="1"/>
        <v>-0.32723181760453496</v>
      </c>
      <c r="Y111" s="2">
        <f t="shared" si="1"/>
        <v>-1.3268987658415257</v>
      </c>
    </row>
    <row r="112" spans="1:25" ht="12.75">
      <c r="A112" s="3">
        <v>34</v>
      </c>
      <c r="B112" s="4">
        <v>8095</v>
      </c>
      <c r="C112" s="2">
        <v>398.5</v>
      </c>
      <c r="D112" s="2">
        <v>67.85</v>
      </c>
      <c r="E112" s="2">
        <v>348.9</v>
      </c>
      <c r="F112" s="2">
        <v>115.3</v>
      </c>
      <c r="G112" s="2">
        <v>64.87</v>
      </c>
      <c r="H112" s="2">
        <v>49.77</v>
      </c>
      <c r="I112" s="3">
        <v>15.04</v>
      </c>
      <c r="J112" s="2">
        <f t="shared" si="2"/>
        <v>0.2059796437659033</v>
      </c>
      <c r="K112" s="2">
        <f t="shared" si="0"/>
        <v>0.887725551347739</v>
      </c>
      <c r="L112" s="2">
        <f t="shared" si="0"/>
        <v>0.23534512660423168</v>
      </c>
      <c r="M112" s="2">
        <f t="shared" si="0"/>
        <v>0.2152375077112893</v>
      </c>
      <c r="N112" s="2">
        <f t="shared" si="0"/>
        <v>0.5961737331954499</v>
      </c>
      <c r="O112" s="2">
        <f t="shared" si="0"/>
        <v>0.49900000000000005</v>
      </c>
      <c r="P112" s="2">
        <f t="shared" si="0"/>
        <v>0.9713114754098361</v>
      </c>
      <c r="Q112" s="2">
        <f t="shared" si="0"/>
        <v>0.11595990747879723</v>
      </c>
      <c r="R112" s="2">
        <f t="shared" si="3"/>
        <v>-0.6861756972860341</v>
      </c>
      <c r="S112" s="2">
        <f t="shared" si="1"/>
        <v>-0.051721279669521676</v>
      </c>
      <c r="T112" s="2">
        <f t="shared" si="1"/>
        <v>-0.628294790392452</v>
      </c>
      <c r="U112" s="2">
        <f t="shared" si="1"/>
        <v>-0.6670820454004042</v>
      </c>
      <c r="V112" s="2">
        <f t="shared" si="1"/>
        <v>-0.22462716245228384</v>
      </c>
      <c r="W112" s="2">
        <f t="shared" si="1"/>
        <v>-0.30189945437661003</v>
      </c>
      <c r="X112" s="2">
        <f t="shared" si="1"/>
        <v>-0.012641480328625549</v>
      </c>
      <c r="Y112" s="2">
        <f t="shared" si="1"/>
        <v>-0.9356921398284566</v>
      </c>
    </row>
    <row r="113" spans="1:25" s="6" customFormat="1" ht="12.75">
      <c r="A113" s="8">
        <v>41</v>
      </c>
      <c r="B113" s="5">
        <v>11710</v>
      </c>
      <c r="C113" s="6">
        <v>387</v>
      </c>
      <c r="D113" s="6">
        <v>93.85</v>
      </c>
      <c r="E113" s="6">
        <v>527.6</v>
      </c>
      <c r="F113" s="6">
        <v>122.3</v>
      </c>
      <c r="G113" s="6">
        <v>102.5</v>
      </c>
      <c r="H113" s="6">
        <v>60.28</v>
      </c>
      <c r="I113" s="8">
        <v>31</v>
      </c>
      <c r="J113" s="6">
        <f t="shared" si="2"/>
        <v>0.2979643765903308</v>
      </c>
      <c r="K113" s="6">
        <f t="shared" si="0"/>
        <v>0.8621073735798619</v>
      </c>
      <c r="L113" s="6">
        <f t="shared" si="0"/>
        <v>0.32552896288588273</v>
      </c>
      <c r="M113" s="6">
        <f t="shared" si="0"/>
        <v>0.3254780999383097</v>
      </c>
      <c r="N113" s="6">
        <f t="shared" si="0"/>
        <v>0.6323681489141675</v>
      </c>
      <c r="O113" s="6">
        <f t="shared" si="0"/>
        <v>0.7884615384615384</v>
      </c>
      <c r="P113" s="6">
        <f t="shared" si="0"/>
        <v>1.176424668227947</v>
      </c>
      <c r="Q113" s="6">
        <f t="shared" si="0"/>
        <v>0.23901310717039323</v>
      </c>
      <c r="R113" s="6">
        <f t="shared" si="3"/>
        <v>-0.5258356553030635</v>
      </c>
      <c r="S113" s="6">
        <f t="shared" si="1"/>
        <v>-0.06443864038274147</v>
      </c>
      <c r="T113" s="6">
        <f t="shared" si="1"/>
        <v>-0.4874103654308427</v>
      </c>
      <c r="U113" s="6">
        <f t="shared" si="1"/>
        <v>-0.4874782279741873</v>
      </c>
      <c r="V113" s="6">
        <f t="shared" si="1"/>
        <v>-0.19903001271069742</v>
      </c>
      <c r="W113" s="6">
        <f t="shared" si="1"/>
        <v>-0.10321948691506368</v>
      </c>
      <c r="X113" s="6">
        <f t="shared" si="1"/>
        <v>0.0705641225699455</v>
      </c>
      <c r="Y113" s="6">
        <f t="shared" si="1"/>
        <v>-0.6215782822498074</v>
      </c>
    </row>
    <row r="114" spans="1:25" ht="12.75">
      <c r="A114" s="3">
        <v>48</v>
      </c>
      <c r="B114" s="4">
        <v>17700</v>
      </c>
      <c r="C114" s="2">
        <v>429</v>
      </c>
      <c r="D114" s="2">
        <v>148.6</v>
      </c>
      <c r="E114" s="2">
        <v>951.8</v>
      </c>
      <c r="F114" s="2">
        <v>148.4</v>
      </c>
      <c r="G114" s="2">
        <v>135.9</v>
      </c>
      <c r="H114" s="2">
        <v>87.15</v>
      </c>
      <c r="I114" s="3">
        <v>63.88</v>
      </c>
      <c r="J114" s="2">
        <f t="shared" si="2"/>
        <v>0.45038167938931295</v>
      </c>
      <c r="K114" s="2">
        <f aca="true" t="shared" si="4" ref="K114:K120">IF(C114="","",C114/C$120)</f>
        <v>0.9556694141234129</v>
      </c>
      <c r="L114" s="2">
        <f aca="true" t="shared" si="5" ref="L114:L120">IF(D114="","",D114/D$120)</f>
        <v>0.5154353104405133</v>
      </c>
      <c r="M114" s="2">
        <f aca="true" t="shared" si="6" ref="M114:M120">IF(E114="","",E114/E$120)</f>
        <v>0.5871684145589142</v>
      </c>
      <c r="N114" s="2">
        <f aca="true" t="shared" si="7" ref="N114:N120">IF(F114="","",F114/F$120)</f>
        <v>0.7673216132368149</v>
      </c>
      <c r="O114" s="2">
        <f aca="true" t="shared" si="8" ref="O114:O120">IF(G114="","",G114/G$120)</f>
        <v>1.0453846153846154</v>
      </c>
      <c r="P114" s="2">
        <f aca="true" t="shared" si="9" ref="P114:P120">IF(H114="","",H114/H$120)</f>
        <v>1.7008196721311475</v>
      </c>
      <c r="Q114" s="2">
        <f aca="true" t="shared" si="10" ref="Q114:Q120">IF(I114="","",I114/I$120)</f>
        <v>0.49252120277563616</v>
      </c>
      <c r="R114" s="2">
        <f t="shared" si="3"/>
        <v>-0.3464192840136201</v>
      </c>
      <c r="S114" s="2">
        <f aca="true" t="shared" si="11" ref="S114:S120">IF(K114="","",LOG(K114))</f>
        <v>-0.019692313216928575</v>
      </c>
      <c r="T114" s="2">
        <f aca="true" t="shared" si="12" ref="T114:T120">IF(L114="","",LOG(L114))</f>
        <v>-0.2878258329636514</v>
      </c>
      <c r="U114" s="2">
        <f aca="true" t="shared" si="13" ref="U114:U120">IF(M114="","",LOG(M114))</f>
        <v>-0.2312373143857763</v>
      </c>
      <c r="V114" s="2">
        <f aca="true" t="shared" si="14" ref="V114:V120">IF(N114="","",LOG(N114))</f>
        <v>-0.11502256880397459</v>
      </c>
      <c r="W114" s="2">
        <f aca="true" t="shared" si="15" ref="W114:W120">IF(O114="","",LOG(O114))</f>
        <v>0.019276104425657532</v>
      </c>
      <c r="X114" s="2">
        <f aca="true" t="shared" si="16" ref="X114:X120">IF(P114="","",LOG(P114))</f>
        <v>0.23065827037336328</v>
      </c>
      <c r="Y114" s="2">
        <f aca="true" t="shared" si="17" ref="Y114:Y120">IF(Q114="","",LOG(Q114))</f>
        <v>-0.3075750686176347</v>
      </c>
    </row>
    <row r="115" spans="1:25" ht="12.75">
      <c r="A115" s="3">
        <v>55</v>
      </c>
      <c r="B115" s="4">
        <v>25610</v>
      </c>
      <c r="C115" s="2">
        <v>398.6</v>
      </c>
      <c r="D115" s="2">
        <v>224</v>
      </c>
      <c r="E115" s="2">
        <v>1505</v>
      </c>
      <c r="F115" s="2">
        <v>164.4</v>
      </c>
      <c r="G115" s="2">
        <v>150.5</v>
      </c>
      <c r="H115" s="2">
        <v>88.48</v>
      </c>
      <c r="I115" s="3">
        <v>88.54</v>
      </c>
      <c r="J115" s="2">
        <f t="shared" si="2"/>
        <v>0.6516539440203563</v>
      </c>
      <c r="K115" s="2">
        <f t="shared" si="4"/>
        <v>0.887948318110938</v>
      </c>
      <c r="L115" s="2">
        <f t="shared" si="5"/>
        <v>0.7769684356573013</v>
      </c>
      <c r="M115" s="2">
        <f t="shared" si="6"/>
        <v>0.9284392350400987</v>
      </c>
      <c r="N115" s="2">
        <f t="shared" si="7"/>
        <v>0.8500517063081696</v>
      </c>
      <c r="O115" s="2">
        <f t="shared" si="8"/>
        <v>1.1576923076923078</v>
      </c>
      <c r="P115" s="2">
        <f t="shared" si="9"/>
        <v>1.726775956284153</v>
      </c>
      <c r="Q115" s="2">
        <f t="shared" si="10"/>
        <v>0.6826522744795683</v>
      </c>
      <c r="R115" s="2">
        <f t="shared" si="3"/>
        <v>-0.18598297190699697</v>
      </c>
      <c r="S115" s="2">
        <f t="shared" si="11"/>
        <v>-0.051612311037184</v>
      </c>
      <c r="T115" s="2">
        <f t="shared" si="12"/>
        <v>-0.10959662405404504</v>
      </c>
      <c r="U115" s="2">
        <f t="shared" si="13"/>
        <v>-0.03224651491865277</v>
      </c>
      <c r="V115" s="2">
        <f t="shared" si="14"/>
        <v>-0.07055465654295126</v>
      </c>
      <c r="W115" s="2">
        <f t="shared" si="15"/>
        <v>0.06359314762302543</v>
      </c>
      <c r="X115" s="2">
        <f t="shared" si="16"/>
        <v>0.23723599288797434</v>
      </c>
      <c r="Y115" s="2">
        <f t="shared" si="17"/>
        <v>-0.16580045844125088</v>
      </c>
    </row>
    <row r="116" spans="1:25" ht="12.75">
      <c r="A116" s="3">
        <v>62</v>
      </c>
      <c r="B116" s="4">
        <v>29690</v>
      </c>
      <c r="C116" s="2">
        <v>442.2</v>
      </c>
      <c r="D116" s="2">
        <v>284.2</v>
      </c>
      <c r="E116" s="2">
        <v>1906</v>
      </c>
      <c r="F116" s="2">
        <v>190.7</v>
      </c>
      <c r="G116" s="2">
        <v>140.1</v>
      </c>
      <c r="H116" s="2">
        <v>82.22</v>
      </c>
      <c r="I116" s="3">
        <v>122.5</v>
      </c>
      <c r="J116" s="2">
        <f t="shared" si="2"/>
        <v>0.755470737913486</v>
      </c>
      <c r="K116" s="2">
        <f t="shared" si="4"/>
        <v>0.9850746268656717</v>
      </c>
      <c r="L116" s="2">
        <f t="shared" si="5"/>
        <v>0.9857787027402011</v>
      </c>
      <c r="M116" s="2">
        <f t="shared" si="6"/>
        <v>1.175817396668723</v>
      </c>
      <c r="N116" s="2">
        <f t="shared" si="7"/>
        <v>0.9860392967942088</v>
      </c>
      <c r="O116" s="2">
        <f t="shared" si="8"/>
        <v>1.0776923076923077</v>
      </c>
      <c r="P116" s="2">
        <f t="shared" si="9"/>
        <v>1.6046057767369242</v>
      </c>
      <c r="Q116" s="2">
        <f t="shared" si="10"/>
        <v>0.9444872783346184</v>
      </c>
      <c r="R116" s="2">
        <f t="shared" si="3"/>
        <v>-0.12178235277938208</v>
      </c>
      <c r="S116" s="2">
        <f t="shared" si="11"/>
        <v>-0.006530867158957731</v>
      </c>
      <c r="T116" s="2">
        <f t="shared" si="12"/>
        <v>-0.006220568796756899</v>
      </c>
      <c r="U116" s="2">
        <f t="shared" si="13"/>
        <v>0.07033988145379269</v>
      </c>
      <c r="V116" s="2">
        <f t="shared" si="14"/>
        <v>-0.0061057767009773025</v>
      </c>
      <c r="W116" s="2">
        <f t="shared" si="15"/>
        <v>0.03249478297893785</v>
      </c>
      <c r="X116" s="2">
        <f t="shared" si="16"/>
        <v>0.20536835137168225</v>
      </c>
      <c r="Y116" s="2">
        <f t="shared" si="17"/>
        <v>-0.024803887383528775</v>
      </c>
    </row>
    <row r="117" spans="1:25" ht="12.75">
      <c r="A117" s="3">
        <v>69</v>
      </c>
      <c r="B117" s="4">
        <v>37610</v>
      </c>
      <c r="C117" s="2">
        <v>429.2</v>
      </c>
      <c r="D117" s="2">
        <v>252.5</v>
      </c>
      <c r="E117" s="2">
        <v>1851</v>
      </c>
      <c r="F117" s="2">
        <v>211.4</v>
      </c>
      <c r="G117" s="2">
        <v>124.2</v>
      </c>
      <c r="H117" s="2">
        <v>53.61</v>
      </c>
      <c r="I117" s="3">
        <v>124.3</v>
      </c>
      <c r="J117" s="2">
        <f t="shared" si="2"/>
        <v>0.9569974554707379</v>
      </c>
      <c r="K117" s="2">
        <f t="shared" si="4"/>
        <v>0.9561149476498106</v>
      </c>
      <c r="L117" s="2">
        <f t="shared" si="5"/>
        <v>0.8758237946583419</v>
      </c>
      <c r="M117" s="2">
        <f t="shared" si="6"/>
        <v>1.1418877236273905</v>
      </c>
      <c r="N117" s="2">
        <f t="shared" si="7"/>
        <v>1.093071354705274</v>
      </c>
      <c r="O117" s="2">
        <f t="shared" si="8"/>
        <v>0.9553846153846154</v>
      </c>
      <c r="P117" s="2">
        <f t="shared" si="9"/>
        <v>1.0462529274004684</v>
      </c>
      <c r="Q117" s="2">
        <f t="shared" si="10"/>
        <v>0.9583654587509638</v>
      </c>
      <c r="R117" s="2">
        <f t="shared" si="3"/>
        <v>-0.019089216953027593</v>
      </c>
      <c r="S117" s="2">
        <f t="shared" si="11"/>
        <v>-0.019489892107739396</v>
      </c>
      <c r="T117" s="2">
        <f t="shared" si="12"/>
        <v>-0.05758325993352765</v>
      </c>
      <c r="U117" s="2">
        <f t="shared" si="13"/>
        <v>0.05762340390438919</v>
      </c>
      <c r="V117" s="2">
        <f t="shared" si="14"/>
        <v>0.03864851322442456</v>
      </c>
      <c r="W117" s="2">
        <f t="shared" si="15"/>
        <v>-0.019821756466275382</v>
      </c>
      <c r="X117" s="2">
        <f t="shared" si="16"/>
        <v>0.01963668615265798</v>
      </c>
      <c r="Y117" s="2">
        <f t="shared" si="17"/>
        <v>-0.018468847442435304</v>
      </c>
    </row>
    <row r="118" spans="1:25" ht="12.75">
      <c r="A118" s="3">
        <v>76</v>
      </c>
      <c r="B118" s="4">
        <v>38160</v>
      </c>
      <c r="C118" s="2">
        <v>455.5</v>
      </c>
      <c r="D118" s="2">
        <v>279.7</v>
      </c>
      <c r="E118" s="2">
        <v>1877</v>
      </c>
      <c r="F118" s="2">
        <v>214.4</v>
      </c>
      <c r="G118" s="2">
        <v>120.8</v>
      </c>
      <c r="H118" s="2">
        <v>54.35</v>
      </c>
      <c r="I118" s="3">
        <v>144</v>
      </c>
      <c r="J118" s="2">
        <f t="shared" si="2"/>
        <v>0.9709923664122138</v>
      </c>
      <c r="K118" s="2">
        <f t="shared" si="4"/>
        <v>1.0147026063711295</v>
      </c>
      <c r="L118" s="2">
        <f t="shared" si="5"/>
        <v>0.9701699618452999</v>
      </c>
      <c r="M118" s="2">
        <f t="shared" si="6"/>
        <v>1.1579272054287477</v>
      </c>
      <c r="N118" s="2">
        <f t="shared" si="7"/>
        <v>1.108583247156153</v>
      </c>
      <c r="O118" s="2">
        <f t="shared" si="8"/>
        <v>0.9292307692307692</v>
      </c>
      <c r="P118" s="2">
        <f t="shared" si="9"/>
        <v>1.060694769711163</v>
      </c>
      <c r="Q118" s="2">
        <f t="shared" si="10"/>
        <v>1.1102544333076332</v>
      </c>
      <c r="R118" s="2">
        <f t="shared" si="3"/>
        <v>-0.012784184343369184</v>
      </c>
      <c r="S118" s="2">
        <f t="shared" si="11"/>
        <v>0.006338775907364225</v>
      </c>
      <c r="T118" s="2">
        <f t="shared" si="12"/>
        <v>-0.013152176016680612</v>
      </c>
      <c r="U118" s="2">
        <f t="shared" si="13"/>
        <v>0.06368125777283139</v>
      </c>
      <c r="V118" s="2">
        <f t="shared" si="14"/>
        <v>0.044768311273749514</v>
      </c>
      <c r="W118" s="2">
        <f t="shared" si="15"/>
        <v>-0.031876418021723765</v>
      </c>
      <c r="X118" s="2">
        <f t="shared" si="16"/>
        <v>0.025590427349664612</v>
      </c>
      <c r="Y118" s="2">
        <f t="shared" si="17"/>
        <v>0.045422516011169645</v>
      </c>
    </row>
    <row r="119" spans="1:25" ht="12.75">
      <c r="A119" s="3">
        <v>83</v>
      </c>
      <c r="B119" s="4">
        <v>38740</v>
      </c>
      <c r="C119" s="2">
        <v>423</v>
      </c>
      <c r="D119" s="2">
        <v>283.9</v>
      </c>
      <c r="E119" s="2">
        <v>1669</v>
      </c>
      <c r="F119" s="2">
        <v>182.4</v>
      </c>
      <c r="G119" s="2">
        <v>128.2</v>
      </c>
      <c r="H119" s="2">
        <v>63.02</v>
      </c>
      <c r="I119" s="3">
        <v>128</v>
      </c>
      <c r="J119" s="2">
        <f t="shared" si="2"/>
        <v>0.9857506361323155</v>
      </c>
      <c r="K119" s="2">
        <f t="shared" si="4"/>
        <v>0.942303408331477</v>
      </c>
      <c r="L119" s="2">
        <f t="shared" si="5"/>
        <v>0.9847381200138743</v>
      </c>
      <c r="M119" s="2">
        <f t="shared" si="6"/>
        <v>1.0296113510178901</v>
      </c>
      <c r="N119" s="2">
        <f t="shared" si="7"/>
        <v>0.9431230610134437</v>
      </c>
      <c r="O119" s="2">
        <f t="shared" si="8"/>
        <v>0.986153846153846</v>
      </c>
      <c r="P119" s="2">
        <f t="shared" si="9"/>
        <v>1.2298985167837626</v>
      </c>
      <c r="Q119" s="2">
        <f t="shared" si="10"/>
        <v>0.9868928296067849</v>
      </c>
      <c r="R119" s="2">
        <f t="shared" si="3"/>
        <v>-0.006232933992334703</v>
      </c>
      <c r="S119" s="2">
        <f t="shared" si="11"/>
        <v>-0.025809238026610518</v>
      </c>
      <c r="T119" s="2">
        <f t="shared" si="12"/>
        <v>-0.006679249862350654</v>
      </c>
      <c r="U119" s="2">
        <f t="shared" si="13"/>
        <v>0.012673321830731745</v>
      </c>
      <c r="V119" s="2">
        <f t="shared" si="14"/>
        <v>-0.02543163575458548</v>
      </c>
      <c r="W119" s="2">
        <f t="shared" si="15"/>
        <v>-0.006055327124038198</v>
      </c>
      <c r="X119" s="2">
        <f t="shared" si="16"/>
        <v>0.08986927776533213</v>
      </c>
      <c r="Y119" s="2">
        <f t="shared" si="17"/>
        <v>-0.005730006436211698</v>
      </c>
    </row>
    <row r="120" spans="1:25" ht="12.75">
      <c r="A120" s="3">
        <v>90</v>
      </c>
      <c r="B120" s="4">
        <v>39300</v>
      </c>
      <c r="C120" s="2">
        <v>448.9</v>
      </c>
      <c r="D120" s="2">
        <v>288.3</v>
      </c>
      <c r="E120" s="2">
        <v>1621</v>
      </c>
      <c r="F120" s="2">
        <v>193.4</v>
      </c>
      <c r="G120" s="2">
        <v>130</v>
      </c>
      <c r="H120" s="2">
        <v>51.24</v>
      </c>
      <c r="I120" s="3">
        <v>129.7</v>
      </c>
      <c r="J120" s="2">
        <f t="shared" si="2"/>
        <v>1</v>
      </c>
      <c r="K120" s="2">
        <f t="shared" si="4"/>
        <v>1</v>
      </c>
      <c r="L120" s="2">
        <f t="shared" si="5"/>
        <v>1</v>
      </c>
      <c r="M120" s="2">
        <f t="shared" si="6"/>
        <v>1</v>
      </c>
      <c r="N120" s="2">
        <f t="shared" si="7"/>
        <v>1</v>
      </c>
      <c r="O120" s="2">
        <f t="shared" si="8"/>
        <v>1</v>
      </c>
      <c r="P120" s="2">
        <f t="shared" si="9"/>
        <v>1</v>
      </c>
      <c r="Q120" s="2">
        <f t="shared" si="10"/>
        <v>1</v>
      </c>
      <c r="R120" s="2">
        <f t="shared" si="3"/>
        <v>0</v>
      </c>
      <c r="S120" s="2">
        <f t="shared" si="11"/>
        <v>0</v>
      </c>
      <c r="T120" s="2">
        <f t="shared" si="12"/>
        <v>0</v>
      </c>
      <c r="U120" s="2">
        <f t="shared" si="13"/>
        <v>0</v>
      </c>
      <c r="V120" s="2">
        <f t="shared" si="14"/>
        <v>0</v>
      </c>
      <c r="W120" s="2">
        <f t="shared" si="15"/>
        <v>0</v>
      </c>
      <c r="X120" s="2">
        <f t="shared" si="16"/>
        <v>0</v>
      </c>
      <c r="Y120" s="2">
        <f t="shared" si="17"/>
        <v>0</v>
      </c>
    </row>
    <row r="121" spans="1:9" ht="12.75">
      <c r="A121" s="3"/>
      <c r="B121" s="4"/>
      <c r="I121" s="3"/>
    </row>
    <row r="122" spans="1:9" ht="12.75">
      <c r="A122" s="2" t="s">
        <v>109</v>
      </c>
      <c r="E122" s="2" t="s">
        <v>110</v>
      </c>
      <c r="H122" s="6"/>
      <c r="I122" s="6"/>
    </row>
    <row r="123" spans="2:9" ht="12.75">
      <c r="B123" s="9" t="s">
        <v>107</v>
      </c>
      <c r="C123" s="9" t="s">
        <v>108</v>
      </c>
      <c r="D123" s="9"/>
      <c r="E123" s="9" t="s">
        <v>107</v>
      </c>
      <c r="F123" s="9" t="s">
        <v>108</v>
      </c>
      <c r="H123" s="6"/>
      <c r="I123" s="6"/>
    </row>
    <row r="124" spans="1:9" ht="12.75">
      <c r="A124" s="2" t="s">
        <v>105</v>
      </c>
      <c r="B124" s="10">
        <f>B106</f>
        <v>1598</v>
      </c>
      <c r="C124" s="9">
        <f>B124/1000</f>
        <v>1.598</v>
      </c>
      <c r="D124" s="9"/>
      <c r="E124" s="9">
        <f>B139</f>
        <v>1696</v>
      </c>
      <c r="F124" s="9">
        <f>E124/1000</f>
        <v>1.696</v>
      </c>
      <c r="H124" s="6"/>
      <c r="I124" s="6"/>
    </row>
    <row r="125" spans="1:9" ht="12.75">
      <c r="A125" s="2" t="s">
        <v>106</v>
      </c>
      <c r="B125" s="10">
        <f>B112</f>
        <v>8095</v>
      </c>
      <c r="C125" s="9">
        <f>B125/1000</f>
        <v>8.095</v>
      </c>
      <c r="D125" s="9"/>
      <c r="E125" s="9">
        <f>B144</f>
        <v>7443</v>
      </c>
      <c r="F125" s="9">
        <f>E125/1000</f>
        <v>7.443</v>
      </c>
      <c r="H125" s="6"/>
      <c r="I125" s="6"/>
    </row>
    <row r="127" spans="10:18" ht="12.75">
      <c r="J127" s="2" t="s">
        <v>96</v>
      </c>
      <c r="R127" s="2" t="s">
        <v>96</v>
      </c>
    </row>
    <row r="128" spans="1:18" ht="12.75">
      <c r="A128" s="2" t="s">
        <v>96</v>
      </c>
      <c r="J128" s="2" t="s">
        <v>111</v>
      </c>
      <c r="R128" s="2" t="s">
        <v>112</v>
      </c>
    </row>
    <row r="129" spans="1:25" ht="12.75">
      <c r="A129" s="2" t="s">
        <v>95</v>
      </c>
      <c r="B129" s="2" t="s">
        <v>97</v>
      </c>
      <c r="C129" s="2" t="s">
        <v>90</v>
      </c>
      <c r="D129" s="2" t="s">
        <v>87</v>
      </c>
      <c r="E129" s="2" t="s">
        <v>88</v>
      </c>
      <c r="F129" s="2" t="s">
        <v>89</v>
      </c>
      <c r="G129" s="2" t="s">
        <v>91</v>
      </c>
      <c r="H129" s="2" t="s">
        <v>92</v>
      </c>
      <c r="I129" s="2" t="s">
        <v>93</v>
      </c>
      <c r="J129" s="2" t="s">
        <v>97</v>
      </c>
      <c r="K129" s="2" t="s">
        <v>90</v>
      </c>
      <c r="L129" s="2" t="s">
        <v>87</v>
      </c>
      <c r="M129" s="2" t="s">
        <v>88</v>
      </c>
      <c r="N129" s="2" t="s">
        <v>89</v>
      </c>
      <c r="O129" s="2" t="s">
        <v>91</v>
      </c>
      <c r="P129" s="2" t="s">
        <v>92</v>
      </c>
      <c r="Q129" s="2" t="s">
        <v>93</v>
      </c>
      <c r="R129" s="2" t="s">
        <v>97</v>
      </c>
      <c r="S129" s="2" t="s">
        <v>90</v>
      </c>
      <c r="T129" s="2" t="s">
        <v>87</v>
      </c>
      <c r="U129" s="2" t="s">
        <v>88</v>
      </c>
      <c r="V129" s="2" t="s">
        <v>89</v>
      </c>
      <c r="W129" s="2" t="s">
        <v>91</v>
      </c>
      <c r="X129" s="2" t="s">
        <v>92</v>
      </c>
      <c r="Y129" s="2" t="s">
        <v>93</v>
      </c>
    </row>
    <row r="130" spans="1:25" ht="12.75">
      <c r="A130" s="2">
        <v>11</v>
      </c>
      <c r="B130" s="2">
        <v>12</v>
      </c>
      <c r="J130" s="2">
        <f>IF(B130="","",B130/B$152)</f>
        <v>0.00044020542920029346</v>
      </c>
      <c r="K130" s="2">
        <f aca="true" t="shared" si="18" ref="K130:Q145">IF(C130="","",C130/C$152)</f>
      </c>
      <c r="L130" s="2">
        <f t="shared" si="18"/>
      </c>
      <c r="M130" s="2">
        <f t="shared" si="18"/>
      </c>
      <c r="N130" s="2">
        <f t="shared" si="18"/>
      </c>
      <c r="O130" s="2">
        <f t="shared" si="18"/>
      </c>
      <c r="P130" s="2">
        <f t="shared" si="18"/>
      </c>
      <c r="Q130" s="2">
        <f t="shared" si="18"/>
      </c>
      <c r="R130" s="2">
        <f>IF(J130="","",LOG(J130))</f>
        <v>-3.35634460545103</v>
      </c>
      <c r="S130" s="2">
        <f aca="true" t="shared" si="19" ref="S130:S152">IF(K130="","",LOG(K130))</f>
      </c>
      <c r="T130" s="2">
        <f aca="true" t="shared" si="20" ref="T130:T152">IF(L130="","",LOG(L130))</f>
      </c>
      <c r="U130" s="2">
        <f aca="true" t="shared" si="21" ref="U130:U152">IF(M130="","",LOG(M130))</f>
      </c>
      <c r="V130" s="2">
        <f aca="true" t="shared" si="22" ref="V130:V152">IF(N130="","",LOG(N130))</f>
      </c>
      <c r="W130" s="2">
        <f aca="true" t="shared" si="23" ref="W130:W152">IF(O130="","",LOG(O130))</f>
      </c>
      <c r="X130" s="2">
        <f aca="true" t="shared" si="24" ref="X130:X152">IF(P130="","",LOG(P130))</f>
      </c>
      <c r="Y130" s="2">
        <f aca="true" t="shared" si="25" ref="Y130:Y152">IF(Q130="","",LOG(Q130))</f>
      </c>
    </row>
    <row r="131" spans="1:25" s="6" customFormat="1" ht="12.75">
      <c r="A131" s="6">
        <v>12</v>
      </c>
      <c r="B131" s="6">
        <v>32.72</v>
      </c>
      <c r="J131" s="6">
        <f aca="true" t="shared" si="26" ref="J131:J152">IF(B131="","",B131/B$152)</f>
        <v>0.0012002934702861334</v>
      </c>
      <c r="K131" s="6">
        <f t="shared" si="18"/>
      </c>
      <c r="L131" s="6">
        <f t="shared" si="18"/>
      </c>
      <c r="M131" s="6">
        <f t="shared" si="18"/>
      </c>
      <c r="N131" s="6">
        <f t="shared" si="18"/>
      </c>
      <c r="O131" s="6">
        <f t="shared" si="18"/>
      </c>
      <c r="P131" s="6">
        <f t="shared" si="18"/>
      </c>
      <c r="Q131" s="6">
        <f t="shared" si="18"/>
      </c>
      <c r="R131" s="6">
        <f aca="true" t="shared" si="27" ref="R131:R152">IF(J131="","",LOG(J131))</f>
        <v>-2.9207125564993697</v>
      </c>
      <c r="S131" s="6">
        <f t="shared" si="19"/>
      </c>
      <c r="T131" s="6">
        <f t="shared" si="20"/>
      </c>
      <c r="U131" s="6">
        <f t="shared" si="21"/>
      </c>
      <c r="V131" s="6">
        <f t="shared" si="22"/>
      </c>
      <c r="W131" s="6">
        <f t="shared" si="23"/>
      </c>
      <c r="X131" s="6">
        <f t="shared" si="24"/>
      </c>
      <c r="Y131" s="6">
        <f t="shared" si="25"/>
      </c>
    </row>
    <row r="132" spans="1:25" ht="12.75">
      <c r="A132" s="3">
        <f>A99</f>
        <v>13</v>
      </c>
      <c r="B132" s="2">
        <v>67.04</v>
      </c>
      <c r="C132" s="2">
        <v>6.634</v>
      </c>
      <c r="E132" s="2">
        <v>4.53</v>
      </c>
      <c r="F132" s="2">
        <v>0.3536</v>
      </c>
      <c r="J132" s="2">
        <f t="shared" si="26"/>
        <v>0.002459280997798973</v>
      </c>
      <c r="K132" s="2">
        <f t="shared" si="18"/>
        <v>0.014670499778858913</v>
      </c>
      <c r="L132" s="2">
        <f t="shared" si="18"/>
      </c>
      <c r="M132" s="2">
        <f t="shared" si="18"/>
        <v>0.0029019859064702115</v>
      </c>
      <c r="N132" s="2">
        <f t="shared" si="18"/>
        <v>0.0018445487741262391</v>
      </c>
      <c r="O132" s="2">
        <f t="shared" si="18"/>
      </c>
      <c r="P132" s="2">
        <f t="shared" si="18"/>
      </c>
      <c r="Q132" s="2">
        <f t="shared" si="18"/>
      </c>
      <c r="R132" s="2">
        <f t="shared" si="27"/>
        <v>-2.6091918458764347</v>
      </c>
      <c r="S132" s="2">
        <f t="shared" si="19"/>
        <v>-1.8335550908258773</v>
      </c>
      <c r="T132" s="2">
        <f t="shared" si="20"/>
      </c>
      <c r="U132" s="2">
        <f t="shared" si="21"/>
        <v>-2.5373047010495857</v>
      </c>
      <c r="V132" s="2">
        <f t="shared" si="22"/>
        <v>-2.734109856537027</v>
      </c>
      <c r="W132" s="2">
        <f t="shared" si="23"/>
      </c>
      <c r="X132" s="2">
        <f t="shared" si="24"/>
      </c>
      <c r="Y132" s="2">
        <f t="shared" si="25"/>
      </c>
    </row>
    <row r="133" spans="1:25" ht="12.75">
      <c r="A133" s="3">
        <f aca="true" t="shared" si="28" ref="A133:A139">A100</f>
        <v>14</v>
      </c>
      <c r="B133" s="2">
        <v>200.8</v>
      </c>
      <c r="C133" s="2">
        <v>16.84</v>
      </c>
      <c r="D133" s="2">
        <v>0.2662</v>
      </c>
      <c r="E133" s="2">
        <v>20.37</v>
      </c>
      <c r="F133" s="2">
        <v>2.687</v>
      </c>
      <c r="J133" s="2">
        <f t="shared" si="26"/>
        <v>0.007366104181951578</v>
      </c>
      <c r="K133" s="2">
        <f t="shared" si="18"/>
        <v>0.03724015922158337</v>
      </c>
      <c r="L133" s="2">
        <f t="shared" si="18"/>
        <v>0.0011752759381898454</v>
      </c>
      <c r="M133" s="2">
        <f t="shared" si="18"/>
        <v>0.01304932735426009</v>
      </c>
      <c r="N133" s="2">
        <f t="shared" si="18"/>
        <v>0.014016692749087116</v>
      </c>
      <c r="O133" s="2">
        <f t="shared" si="18"/>
      </c>
      <c r="P133" s="2">
        <f t="shared" si="18"/>
      </c>
      <c r="Q133" s="2">
        <f t="shared" si="18"/>
      </c>
      <c r="R133" s="2">
        <f t="shared" si="27"/>
        <v>-2.132762143025673</v>
      </c>
      <c r="S133" s="2">
        <f t="shared" si="19"/>
        <v>-1.4289884708457103</v>
      </c>
      <c r="T133" s="2">
        <f t="shared" si="20"/>
        <v>-2.9298601552101946</v>
      </c>
      <c r="U133" s="2">
        <f t="shared" si="21"/>
        <v>-1.8844118740622533</v>
      </c>
      <c r="V133" s="2">
        <f t="shared" si="22"/>
        <v>-1.853354446444894</v>
      </c>
      <c r="W133" s="2">
        <f t="shared" si="23"/>
      </c>
      <c r="X133" s="2">
        <f t="shared" si="24"/>
      </c>
      <c r="Y133" s="2">
        <f t="shared" si="25"/>
      </c>
    </row>
    <row r="134" spans="1:25" ht="12.75">
      <c r="A134" s="3">
        <f t="shared" si="28"/>
        <v>15</v>
      </c>
      <c r="B134" s="2">
        <v>463.2</v>
      </c>
      <c r="C134" s="2">
        <v>36.16</v>
      </c>
      <c r="D134" s="2">
        <v>0.969575</v>
      </c>
      <c r="F134" s="2">
        <v>9.745</v>
      </c>
      <c r="G134" s="2">
        <v>0.3903</v>
      </c>
      <c r="J134" s="2">
        <f t="shared" si="26"/>
        <v>0.016991929567131327</v>
      </c>
      <c r="K134" s="2">
        <f t="shared" si="18"/>
        <v>0.07996461742591773</v>
      </c>
      <c r="L134" s="2">
        <f t="shared" si="18"/>
        <v>0.004280684326710816</v>
      </c>
      <c r="M134" s="2">
        <f t="shared" si="18"/>
      </c>
      <c r="N134" s="2">
        <f t="shared" si="18"/>
        <v>0.05083463745435576</v>
      </c>
      <c r="O134" s="2">
        <f t="shared" si="18"/>
        <v>0.0030539906103286382</v>
      </c>
      <c r="P134" s="2">
        <f t="shared" si="18"/>
      </c>
      <c r="Q134" s="2">
        <f t="shared" si="18"/>
      </c>
      <c r="R134" s="2">
        <f t="shared" si="27"/>
        <v>-1.7697573007792748</v>
      </c>
      <c r="S134" s="2">
        <f t="shared" si="19"/>
        <v>-1.0971021362060152</v>
      </c>
      <c r="T134" s="2">
        <f t="shared" si="20"/>
        <v>-2.368486797445392</v>
      </c>
      <c r="U134" s="2">
        <f t="shared" si="21"/>
      </c>
      <c r="V134" s="2">
        <f t="shared" si="22"/>
        <v>-1.2938402694244224</v>
      </c>
      <c r="W134" s="2">
        <f t="shared" si="23"/>
        <v>-2.5151323025411325</v>
      </c>
      <c r="X134" s="2">
        <f t="shared" si="24"/>
      </c>
      <c r="Y134" s="2">
        <f t="shared" si="25"/>
      </c>
    </row>
    <row r="135" spans="1:25" ht="12.75">
      <c r="A135" s="3">
        <f t="shared" si="28"/>
        <v>16</v>
      </c>
      <c r="B135" s="2">
        <v>561.7</v>
      </c>
      <c r="C135" s="2">
        <v>45.99</v>
      </c>
      <c r="D135" s="2">
        <v>2.338</v>
      </c>
      <c r="E135" s="2">
        <v>64.19</v>
      </c>
      <c r="F135" s="2">
        <v>26.6</v>
      </c>
      <c r="G135" s="2">
        <v>0.9681</v>
      </c>
      <c r="J135" s="2">
        <f t="shared" si="26"/>
        <v>0.020605282465150407</v>
      </c>
      <c r="K135" s="2">
        <f t="shared" si="18"/>
        <v>0.10170278637770898</v>
      </c>
      <c r="L135" s="2">
        <f t="shared" si="18"/>
        <v>0.010322295805739515</v>
      </c>
      <c r="M135" s="2">
        <f t="shared" si="18"/>
        <v>0.041121076233183854</v>
      </c>
      <c r="N135" s="2">
        <f t="shared" si="18"/>
        <v>0.13875847678664582</v>
      </c>
      <c r="O135" s="2">
        <f t="shared" si="18"/>
        <v>0.007575117370892019</v>
      </c>
      <c r="P135" s="2">
        <f t="shared" si="18"/>
      </c>
      <c r="Q135" s="2">
        <f t="shared" si="18"/>
      </c>
      <c r="R135" s="2">
        <f t="shared" si="27"/>
        <v>-1.6860214276225123</v>
      </c>
      <c r="S135" s="2">
        <f t="shared" si="19"/>
        <v>-0.9926671484353032</v>
      </c>
      <c r="T135" s="2">
        <f t="shared" si="20"/>
        <v>-1.9862236995230294</v>
      </c>
      <c r="U135" s="2">
        <f t="shared" si="21"/>
        <v>-1.3859355273781397</v>
      </c>
      <c r="V135" s="2">
        <f t="shared" si="22"/>
        <v>-0.8577404762469955</v>
      </c>
      <c r="W135" s="2">
        <f t="shared" si="23"/>
        <v>-2.120610633698814</v>
      </c>
      <c r="X135" s="2">
        <f t="shared" si="24"/>
      </c>
      <c r="Y135" s="2">
        <f t="shared" si="25"/>
      </c>
    </row>
    <row r="136" spans="1:25" ht="12.75">
      <c r="A136" s="3">
        <f t="shared" si="28"/>
        <v>17</v>
      </c>
      <c r="B136" s="2">
        <v>1122</v>
      </c>
      <c r="C136" s="2">
        <v>57.09</v>
      </c>
      <c r="J136" s="2">
        <f t="shared" si="26"/>
        <v>0.04115920763022744</v>
      </c>
      <c r="K136" s="2">
        <f t="shared" si="18"/>
        <v>0.12624944714727998</v>
      </c>
      <c r="L136" s="2">
        <f t="shared" si="18"/>
      </c>
      <c r="M136" s="2">
        <f t="shared" si="18"/>
      </c>
      <c r="N136" s="2">
        <f t="shared" si="18"/>
      </c>
      <c r="O136" s="2">
        <f t="shared" si="18"/>
      </c>
      <c r="P136" s="2">
        <f t="shared" si="18"/>
      </c>
      <c r="Q136" s="2">
        <f t="shared" si="18"/>
      </c>
      <c r="R136" s="2">
        <f t="shared" si="27"/>
        <v>-1.3855329945785122</v>
      </c>
      <c r="S136" s="2">
        <f t="shared" si="19"/>
        <v>-0.8987705150026579</v>
      </c>
      <c r="T136" s="2">
        <f t="shared" si="20"/>
      </c>
      <c r="U136" s="2">
        <f t="shared" si="21"/>
      </c>
      <c r="V136" s="2">
        <f t="shared" si="22"/>
      </c>
      <c r="W136" s="2">
        <f t="shared" si="23"/>
      </c>
      <c r="X136" s="2">
        <f t="shared" si="24"/>
      </c>
      <c r="Y136" s="2">
        <f t="shared" si="25"/>
      </c>
    </row>
    <row r="137" spans="1:25" ht="12.75">
      <c r="A137" s="3">
        <f t="shared" si="28"/>
        <v>18</v>
      </c>
      <c r="B137" s="2">
        <v>1536</v>
      </c>
      <c r="C137" s="2">
        <v>76.24</v>
      </c>
      <c r="D137" s="2">
        <v>3.689</v>
      </c>
      <c r="E137" s="2">
        <v>94.41</v>
      </c>
      <c r="F137" s="2">
        <v>32.31</v>
      </c>
      <c r="H137" s="2">
        <v>4.064</v>
      </c>
      <c r="J137" s="2">
        <f t="shared" si="26"/>
        <v>0.05634629493763756</v>
      </c>
      <c r="K137" s="2">
        <f t="shared" si="18"/>
        <v>0.16859796550199027</v>
      </c>
      <c r="L137" s="2">
        <f t="shared" si="18"/>
        <v>0.016286975717439294</v>
      </c>
      <c r="M137" s="2">
        <f t="shared" si="18"/>
        <v>0.06048046124279308</v>
      </c>
      <c r="N137" s="2">
        <f t="shared" si="18"/>
        <v>0.16854460093896717</v>
      </c>
      <c r="O137" s="2">
        <f t="shared" si="18"/>
      </c>
      <c r="P137" s="2">
        <f t="shared" si="18"/>
        <v>0.06197011283928027</v>
      </c>
      <c r="Q137" s="2">
        <f t="shared" si="18"/>
      </c>
      <c r="R137" s="2">
        <f t="shared" si="27"/>
        <v>-1.2491346358031616</v>
      </c>
      <c r="S137" s="2">
        <f t="shared" si="19"/>
        <v>-0.7731476703790708</v>
      </c>
      <c r="T137" s="2">
        <f t="shared" si="20"/>
        <v>-1.7881595511220472</v>
      </c>
      <c r="U137" s="2">
        <f t="shared" si="21"/>
        <v>-1.2183849054295348</v>
      </c>
      <c r="V137" s="2">
        <f t="shared" si="22"/>
        <v>-0.7732851548604185</v>
      </c>
      <c r="W137" s="2">
        <f t="shared" si="23"/>
      </c>
      <c r="X137" s="2">
        <f t="shared" si="24"/>
        <v>-1.2078177130574836</v>
      </c>
      <c r="Y137" s="2">
        <f t="shared" si="25"/>
      </c>
    </row>
    <row r="138" spans="1:25" ht="12.75">
      <c r="A138" s="3">
        <f t="shared" si="28"/>
        <v>19</v>
      </c>
      <c r="B138" s="2">
        <v>1653</v>
      </c>
      <c r="C138" s="2">
        <v>80.1</v>
      </c>
      <c r="E138" s="2">
        <v>96.89</v>
      </c>
      <c r="F138" s="2">
        <v>35.6</v>
      </c>
      <c r="J138" s="2">
        <f t="shared" si="26"/>
        <v>0.06063829787234042</v>
      </c>
      <c r="K138" s="2">
        <f t="shared" si="18"/>
        <v>0.17713401149933658</v>
      </c>
      <c r="L138" s="2">
        <f t="shared" si="18"/>
      </c>
      <c r="M138" s="2">
        <f t="shared" si="18"/>
        <v>0.062069186418962204</v>
      </c>
      <c r="N138" s="2">
        <f t="shared" si="18"/>
        <v>0.18570683359415754</v>
      </c>
      <c r="O138" s="2">
        <f t="shared" si="18"/>
      </c>
      <c r="P138" s="2">
        <f t="shared" si="18"/>
      </c>
      <c r="Q138" s="2">
        <f t="shared" si="18"/>
      </c>
      <c r="R138" s="2">
        <f t="shared" si="27"/>
        <v>-1.2172529979272073</v>
      </c>
      <c r="S138" s="2">
        <f t="shared" si="19"/>
        <v>-0.7516980419251033</v>
      </c>
      <c r="T138" s="2">
        <f t="shared" si="20"/>
      </c>
      <c r="U138" s="2">
        <f t="shared" si="21"/>
        <v>-1.2071239471564263</v>
      </c>
      <c r="V138" s="2">
        <f t="shared" si="22"/>
        <v>-0.7311721149051874</v>
      </c>
      <c r="W138" s="2">
        <f t="shared" si="23"/>
      </c>
      <c r="X138" s="2">
        <f t="shared" si="24"/>
      </c>
      <c r="Y138" s="2">
        <f t="shared" si="25"/>
      </c>
    </row>
    <row r="139" spans="1:25" s="6" customFormat="1" ht="12.75">
      <c r="A139" s="8">
        <f t="shared" si="28"/>
        <v>20</v>
      </c>
      <c r="B139" s="6">
        <v>1696</v>
      </c>
      <c r="C139" s="6">
        <v>94.84</v>
      </c>
      <c r="F139" s="6">
        <v>34.81</v>
      </c>
      <c r="G139" s="6">
        <v>4.374</v>
      </c>
      <c r="J139" s="6">
        <f t="shared" si="26"/>
        <v>0.06221570066030815</v>
      </c>
      <c r="K139" s="6">
        <f t="shared" si="18"/>
        <v>0.20973020787262275</v>
      </c>
      <c r="L139" s="6">
        <f t="shared" si="18"/>
      </c>
      <c r="M139" s="6">
        <f t="shared" si="18"/>
      </c>
      <c r="N139" s="6">
        <f t="shared" si="18"/>
        <v>0.18158581116327596</v>
      </c>
      <c r="O139" s="6">
        <f t="shared" si="18"/>
        <v>0.03422535211267606</v>
      </c>
      <c r="P139" s="6">
        <f t="shared" si="18"/>
      </c>
      <c r="Q139" s="6">
        <f t="shared" si="18"/>
      </c>
      <c r="R139" s="6">
        <f t="shared" si="27"/>
        <v>-1.2061000035779597</v>
      </c>
      <c r="S139" s="6">
        <f t="shared" si="19"/>
        <v>-0.6783390127031903</v>
      </c>
      <c r="T139" s="6">
        <f t="shared" si="20"/>
      </c>
      <c r="U139" s="6">
        <f t="shared" si="21"/>
      </c>
      <c r="V139" s="6">
        <f t="shared" si="22"/>
        <v>-0.7409180895937741</v>
      </c>
      <c r="W139" s="6">
        <f t="shared" si="23"/>
        <v>-1.4656520751207631</v>
      </c>
      <c r="X139" s="6">
        <f t="shared" si="24"/>
      </c>
      <c r="Y139" s="6">
        <f t="shared" si="25"/>
      </c>
    </row>
    <row r="140" spans="1:25" ht="12.75">
      <c r="A140" s="2">
        <v>21</v>
      </c>
      <c r="B140" s="2">
        <v>2057</v>
      </c>
      <c r="C140" s="2">
        <v>123.5</v>
      </c>
      <c r="D140" s="2">
        <v>12.52</v>
      </c>
      <c r="E140" s="2">
        <v>74.86</v>
      </c>
      <c r="F140" s="2">
        <v>41.24</v>
      </c>
      <c r="H140" s="2">
        <v>8.549</v>
      </c>
      <c r="J140" s="2">
        <f t="shared" si="26"/>
        <v>0.07545854732208364</v>
      </c>
      <c r="K140" s="2">
        <f t="shared" si="18"/>
        <v>0.273109243697479</v>
      </c>
      <c r="L140" s="2">
        <f t="shared" si="18"/>
        <v>0.05527593818984547</v>
      </c>
      <c r="M140" s="2">
        <f t="shared" si="18"/>
        <v>0.04795643818065343</v>
      </c>
      <c r="N140" s="2">
        <f t="shared" si="18"/>
        <v>0.21512780386019825</v>
      </c>
      <c r="O140" s="2">
        <f t="shared" si="18"/>
      </c>
      <c r="P140" s="2">
        <f t="shared" si="18"/>
        <v>0.13035986581274778</v>
      </c>
      <c r="Q140" s="2">
        <f t="shared" si="18"/>
      </c>
      <c r="R140" s="2">
        <f t="shared" si="27"/>
        <v>-1.1222915598039307</v>
      </c>
      <c r="S140" s="2">
        <f t="shared" si="19"/>
        <v>-0.5636636004136564</v>
      </c>
      <c r="T140" s="2">
        <f t="shared" si="20"/>
        <v>-1.2574638774744398</v>
      </c>
      <c r="U140" s="2">
        <f t="shared" si="21"/>
        <v>-1.3191530802840143</v>
      </c>
      <c r="V140" s="2">
        <f t="shared" si="22"/>
        <v>-0.6673034562665836</v>
      </c>
      <c r="W140" s="2">
        <f t="shared" si="23"/>
      </c>
      <c r="X140" s="2">
        <f t="shared" si="24"/>
        <v>-0.8848560952521003</v>
      </c>
      <c r="Y140" s="2">
        <f t="shared" si="25"/>
      </c>
    </row>
    <row r="141" spans="1:25" ht="12.75">
      <c r="A141" s="3">
        <f>A109</f>
        <v>23</v>
      </c>
      <c r="B141" s="2">
        <v>2621</v>
      </c>
      <c r="C141" s="2">
        <v>168.7</v>
      </c>
      <c r="D141" s="2">
        <v>15.94</v>
      </c>
      <c r="E141" s="2">
        <v>95.23</v>
      </c>
      <c r="F141" s="2">
        <v>65.04</v>
      </c>
      <c r="G141" s="2">
        <v>10.89</v>
      </c>
      <c r="J141" s="2">
        <f t="shared" si="26"/>
        <v>0.09614820249449743</v>
      </c>
      <c r="K141" s="2">
        <f t="shared" si="18"/>
        <v>0.37306501547987614</v>
      </c>
      <c r="L141" s="2">
        <f t="shared" si="18"/>
        <v>0.07037527593818985</v>
      </c>
      <c r="M141" s="2">
        <f t="shared" si="18"/>
        <v>0.06100576553491352</v>
      </c>
      <c r="N141" s="2">
        <f t="shared" si="18"/>
        <v>0.33928012519561823</v>
      </c>
      <c r="O141" s="2">
        <f t="shared" si="18"/>
        <v>0.08521126760563381</v>
      </c>
      <c r="P141" s="2">
        <f t="shared" si="18"/>
      </c>
      <c r="Q141" s="2">
        <f t="shared" si="18"/>
      </c>
      <c r="R141" s="2">
        <f t="shared" si="27"/>
        <v>-1.0170588305520543</v>
      </c>
      <c r="S141" s="2">
        <f t="shared" si="19"/>
        <v>-0.4282154754202157</v>
      </c>
      <c r="T141" s="2">
        <f t="shared" si="20"/>
        <v>-1.152579889288757</v>
      </c>
      <c r="U141" s="2">
        <f t="shared" si="21"/>
        <v>-1.214629118732295</v>
      </c>
      <c r="V141" s="2">
        <f t="shared" si="22"/>
        <v>-0.46944158029205074</v>
      </c>
      <c r="W141" s="2">
        <f t="shared" si="23"/>
        <v>-1.0695029740666064</v>
      </c>
      <c r="X141" s="2">
        <f t="shared" si="24"/>
      </c>
      <c r="Y141" s="2">
        <f t="shared" si="25"/>
      </c>
    </row>
    <row r="142" spans="1:25" ht="12.75">
      <c r="A142" s="3">
        <f aca="true" t="shared" si="29" ref="A142:A152">A110</f>
        <v>26</v>
      </c>
      <c r="B142" s="2">
        <v>4552</v>
      </c>
      <c r="C142" s="2">
        <v>220.3</v>
      </c>
      <c r="F142" s="2">
        <v>97.97</v>
      </c>
      <c r="H142" s="2">
        <v>24.59</v>
      </c>
      <c r="J142" s="2">
        <f t="shared" si="26"/>
        <v>0.166984592809978</v>
      </c>
      <c r="K142" s="2">
        <f t="shared" si="18"/>
        <v>0.48717381689517913</v>
      </c>
      <c r="L142" s="2">
        <f t="shared" si="18"/>
      </c>
      <c r="M142" s="2">
        <f t="shared" si="18"/>
      </c>
      <c r="N142" s="2">
        <f t="shared" si="18"/>
        <v>0.5110589462702139</v>
      </c>
      <c r="O142" s="2">
        <f t="shared" si="18"/>
      </c>
      <c r="P142" s="2">
        <f t="shared" si="18"/>
        <v>0.37496187862153096</v>
      </c>
      <c r="Q142" s="2">
        <f t="shared" si="18"/>
      </c>
      <c r="R142" s="2">
        <f t="shared" si="27"/>
        <v>-0.77732359811164</v>
      </c>
      <c r="S142" s="2">
        <f t="shared" si="19"/>
        <v>-0.3123160608585733</v>
      </c>
      <c r="T142" s="2">
        <f t="shared" si="20"/>
      </c>
      <c r="U142" s="2">
        <f t="shared" si="21"/>
      </c>
      <c r="V142" s="2">
        <f t="shared" si="22"/>
        <v>-0.29152900482917515</v>
      </c>
      <c r="W142" s="2">
        <f t="shared" si="23"/>
      </c>
      <c r="X142" s="2">
        <f t="shared" si="24"/>
        <v>-0.42601288359462924</v>
      </c>
      <c r="Y142" s="2">
        <f t="shared" si="25"/>
      </c>
    </row>
    <row r="143" spans="1:25" ht="12.75">
      <c r="A143" s="3">
        <f t="shared" si="29"/>
        <v>27</v>
      </c>
      <c r="B143" s="2">
        <v>5138</v>
      </c>
      <c r="C143" s="2">
        <v>339.1</v>
      </c>
      <c r="D143" s="2">
        <v>45.79</v>
      </c>
      <c r="E143" s="2">
        <v>166</v>
      </c>
      <c r="F143" s="2">
        <v>87.21</v>
      </c>
      <c r="G143" s="2">
        <v>31.31</v>
      </c>
      <c r="J143" s="2">
        <f t="shared" si="26"/>
        <v>0.188481291269259</v>
      </c>
      <c r="K143" s="2">
        <f t="shared" si="18"/>
        <v>0.749889429455993</v>
      </c>
      <c r="L143" s="2">
        <f t="shared" si="18"/>
        <v>0.2021633554083885</v>
      </c>
      <c r="M143" s="2">
        <f t="shared" si="18"/>
        <v>0.10634208840486867</v>
      </c>
      <c r="N143" s="2">
        <f t="shared" si="18"/>
        <v>0.45492957746478874</v>
      </c>
      <c r="O143" s="2">
        <f t="shared" si="18"/>
        <v>0.2449921752738654</v>
      </c>
      <c r="P143" s="2">
        <f t="shared" si="18"/>
      </c>
      <c r="Q143" s="2">
        <f t="shared" si="18"/>
      </c>
      <c r="R143" s="2">
        <f t="shared" si="27"/>
        <v>-0.7247317515683274</v>
      </c>
      <c r="S143" s="2">
        <f t="shared" si="19"/>
        <v>-0.12500276823125456</v>
      </c>
      <c r="T143" s="2">
        <f t="shared" si="20"/>
        <v>-0.6942975628211534</v>
      </c>
      <c r="U143" s="2">
        <f t="shared" si="21"/>
        <v>-0.9732948150223624</v>
      </c>
      <c r="V143" s="2">
        <f t="shared" si="22"/>
        <v>-0.3420558263879724</v>
      </c>
      <c r="W143" s="2">
        <f t="shared" si="23"/>
        <v>-0.6108477862054661</v>
      </c>
      <c r="X143" s="2">
        <f t="shared" si="24"/>
      </c>
      <c r="Y143" s="2">
        <f t="shared" si="25"/>
      </c>
    </row>
    <row r="144" spans="1:25" ht="12.75">
      <c r="A144" s="3">
        <f t="shared" si="29"/>
        <v>34</v>
      </c>
      <c r="B144" s="2">
        <v>7443</v>
      </c>
      <c r="C144" s="2">
        <v>396.5</v>
      </c>
      <c r="D144" s="2">
        <v>64.8</v>
      </c>
      <c r="E144" s="2">
        <v>319.9</v>
      </c>
      <c r="F144" s="2">
        <v>117.6</v>
      </c>
      <c r="G144" s="2">
        <v>63.36</v>
      </c>
      <c r="H144" s="2">
        <v>46.43</v>
      </c>
      <c r="I144" s="2">
        <v>0.6994</v>
      </c>
      <c r="J144" s="2">
        <f t="shared" si="26"/>
        <v>0.273037417461482</v>
      </c>
      <c r="K144" s="2">
        <f t="shared" si="18"/>
        <v>0.8768244139761168</v>
      </c>
      <c r="L144" s="2">
        <f t="shared" si="18"/>
        <v>0.2860927152317881</v>
      </c>
      <c r="M144" s="2">
        <f t="shared" si="18"/>
        <v>0.20493273542600896</v>
      </c>
      <c r="N144" s="2">
        <f t="shared" si="18"/>
        <v>0.6134585289514867</v>
      </c>
      <c r="O144" s="2">
        <f t="shared" si="18"/>
        <v>0.49577464788732395</v>
      </c>
      <c r="P144" s="2">
        <f t="shared" si="18"/>
        <v>0.7079902409271119</v>
      </c>
      <c r="Q144" s="2">
        <f t="shared" si="18"/>
        <v>0.14671701279630794</v>
      </c>
      <c r="R144" s="2">
        <f t="shared" si="27"/>
        <v>-0.5637778325067831</v>
      </c>
      <c r="S144" s="2">
        <f t="shared" si="19"/>
        <v>-0.0570873663557183</v>
      </c>
      <c r="T144" s="2">
        <f t="shared" si="20"/>
        <v>-0.5434932004782573</v>
      </c>
      <c r="U144" s="2">
        <f t="shared" si="21"/>
        <v>-0.6883886629783105</v>
      </c>
      <c r="V144" s="2">
        <f t="shared" si="22"/>
        <v>-0.21221479113794292</v>
      </c>
      <c r="W144" s="2">
        <f t="shared" si="23"/>
        <v>-0.3047156852409443</v>
      </c>
      <c r="X144" s="2">
        <f t="shared" si="24"/>
        <v>-0.14997272866717234</v>
      </c>
      <c r="Y144" s="2">
        <f t="shared" si="25"/>
        <v>-0.833519523953816</v>
      </c>
    </row>
    <row r="145" spans="1:25" s="6" customFormat="1" ht="12.75">
      <c r="A145" s="8">
        <f t="shared" si="29"/>
        <v>41</v>
      </c>
      <c r="B145" s="6">
        <v>12440</v>
      </c>
      <c r="C145" s="6">
        <v>392.5</v>
      </c>
      <c r="D145" s="6">
        <v>89.54</v>
      </c>
      <c r="E145" s="6">
        <v>534.9</v>
      </c>
      <c r="F145" s="6">
        <v>128</v>
      </c>
      <c r="G145" s="6">
        <v>103.4</v>
      </c>
      <c r="H145" s="6">
        <v>61.15</v>
      </c>
      <c r="J145" s="6">
        <f t="shared" si="26"/>
        <v>0.45634629493763756</v>
      </c>
      <c r="K145" s="6">
        <f t="shared" si="18"/>
        <v>0.8679787704555506</v>
      </c>
      <c r="L145" s="6">
        <f t="shared" si="18"/>
        <v>0.39532008830022075</v>
      </c>
      <c r="M145" s="6">
        <f t="shared" si="18"/>
        <v>0.3426649583600256</v>
      </c>
      <c r="N145" s="6">
        <f t="shared" si="18"/>
        <v>0.6677099634846114</v>
      </c>
      <c r="O145" s="6">
        <f t="shared" si="18"/>
        <v>0.809076682316119</v>
      </c>
      <c r="P145" s="6">
        <f t="shared" si="18"/>
        <v>0.9324489173528515</v>
      </c>
      <c r="Q145" s="6">
        <f t="shared" si="18"/>
      </c>
      <c r="R145" s="6">
        <f t="shared" si="27"/>
        <v>-0.34070547114385485</v>
      </c>
      <c r="S145" s="6">
        <f t="shared" si="19"/>
        <v>-0.06149089692806959</v>
      </c>
      <c r="T145" s="6">
        <f t="shared" si="20"/>
        <v>-0.40305111630142443</v>
      </c>
      <c r="U145" s="6">
        <f t="shared" si="21"/>
        <v>-0.4651303051674005</v>
      </c>
      <c r="V145" s="6">
        <f t="shared" si="22"/>
        <v>-0.1754121432301942</v>
      </c>
      <c r="W145" s="6">
        <f t="shared" si="23"/>
        <v>-0.09201031506445764</v>
      </c>
      <c r="X145" s="6">
        <f t="shared" si="24"/>
        <v>-0.03037495096104214</v>
      </c>
      <c r="Y145" s="6">
        <f t="shared" si="25"/>
      </c>
    </row>
    <row r="146" spans="1:25" ht="12.75">
      <c r="A146" s="3">
        <f t="shared" si="29"/>
        <v>48</v>
      </c>
      <c r="B146" s="2">
        <v>16010</v>
      </c>
      <c r="C146" s="2">
        <v>448.1</v>
      </c>
      <c r="D146" s="2">
        <v>118.1</v>
      </c>
      <c r="E146" s="2">
        <v>757.2</v>
      </c>
      <c r="F146" s="2">
        <v>153.3</v>
      </c>
      <c r="G146" s="2">
        <v>99.91</v>
      </c>
      <c r="H146" s="2">
        <v>120.8</v>
      </c>
      <c r="I146" s="2">
        <v>2.424</v>
      </c>
      <c r="J146" s="2">
        <f t="shared" si="26"/>
        <v>0.5873074101247249</v>
      </c>
      <c r="K146" s="2">
        <f aca="true" t="shared" si="30" ref="K146:K152">IF(C146="","",C146/C$152)</f>
        <v>0.9909332153914198</v>
      </c>
      <c r="L146" s="2">
        <f aca="true" t="shared" si="31" ref="L146:L152">IF(D146="","",D146/D$152)</f>
        <v>0.5214128035320088</v>
      </c>
      <c r="M146" s="2">
        <f aca="true" t="shared" si="32" ref="M146:M152">IF(E146="","",E146/E$152)</f>
        <v>0.48507367072389496</v>
      </c>
      <c r="N146" s="2">
        <f aca="true" t="shared" si="33" ref="N146:N152">IF(F146="","",F146/F$152)</f>
        <v>0.7996870109546167</v>
      </c>
      <c r="O146" s="2">
        <f aca="true" t="shared" si="34" ref="O146:O152">IF(G146="","",G146/G$152)</f>
        <v>0.7817683881064162</v>
      </c>
      <c r="P146" s="2">
        <f aca="true" t="shared" si="35" ref="P146:P152">IF(H146="","",H146/H$152)</f>
        <v>1.8420250076242757</v>
      </c>
      <c r="Q146" s="2">
        <f aca="true" t="shared" si="36" ref="Q146:Q152">IF(I146="","",I146/I$152)</f>
        <v>0.5084959093769666</v>
      </c>
      <c r="R146" s="2">
        <f t="shared" si="27"/>
        <v>-0.23113451957935502</v>
      </c>
      <c r="S146" s="2">
        <f t="shared" si="19"/>
        <v>-0.0039556140962976535</v>
      </c>
      <c r="T146" s="2">
        <f t="shared" si="20"/>
        <v>-0.2828183087353359</v>
      </c>
      <c r="U146" s="2">
        <f t="shared" si="21"/>
        <v>-0.3141922977706583</v>
      </c>
      <c r="V146" s="2">
        <f t="shared" si="22"/>
        <v>-0.09707995802368737</v>
      </c>
      <c r="W146" s="2">
        <f t="shared" si="23"/>
        <v>-0.10692189485096432</v>
      </c>
      <c r="X146" s="2">
        <f t="shared" si="24"/>
        <v>0.2652955219517666</v>
      </c>
      <c r="Y146" s="2">
        <f t="shared" si="25"/>
        <v>-0.2937125364327934</v>
      </c>
    </row>
    <row r="147" spans="1:25" ht="12.75">
      <c r="A147" s="3">
        <f t="shared" si="29"/>
        <v>55</v>
      </c>
      <c r="B147" s="2">
        <v>24310</v>
      </c>
      <c r="C147" s="2">
        <v>454</v>
      </c>
      <c r="D147" s="2">
        <v>148.1</v>
      </c>
      <c r="E147" s="2">
        <v>1426</v>
      </c>
      <c r="F147" s="2">
        <v>179.2</v>
      </c>
      <c r="G147" s="2">
        <v>144.8</v>
      </c>
      <c r="H147" s="2">
        <v>125.5</v>
      </c>
      <c r="I147" s="2">
        <v>3.511</v>
      </c>
      <c r="J147" s="2">
        <f t="shared" si="26"/>
        <v>0.8917828319882611</v>
      </c>
      <c r="K147" s="2">
        <f t="shared" si="30"/>
        <v>1.0039805395842547</v>
      </c>
      <c r="L147" s="2">
        <f t="shared" si="31"/>
        <v>0.6538631346578366</v>
      </c>
      <c r="M147" s="2">
        <f t="shared" si="32"/>
        <v>0.9135169762972454</v>
      </c>
      <c r="N147" s="2">
        <f t="shared" si="33"/>
        <v>0.9347939488784559</v>
      </c>
      <c r="O147" s="2">
        <f t="shared" si="34"/>
        <v>1.13302034428795</v>
      </c>
      <c r="P147" s="2">
        <f t="shared" si="35"/>
        <v>1.9136931991460813</v>
      </c>
      <c r="Q147" s="2">
        <f t="shared" si="36"/>
        <v>0.7365219215439479</v>
      </c>
      <c r="R147" s="2">
        <f t="shared" si="27"/>
        <v>-0.04974089265531903</v>
      </c>
      <c r="S147" s="2">
        <f t="shared" si="19"/>
        <v>0.0017252948477629781</v>
      </c>
      <c r="T147" s="2">
        <f t="shared" si="20"/>
        <v>-0.18451314782764222</v>
      </c>
      <c r="U147" s="2">
        <f t="shared" si="21"/>
        <v>-0.03928337754657074</v>
      </c>
      <c r="V147" s="2">
        <f t="shared" si="22"/>
        <v>-0.029284107551956214</v>
      </c>
      <c r="W147" s="2">
        <f t="shared" si="23"/>
        <v>0.05423770803874679</v>
      </c>
      <c r="X147" s="2">
        <f t="shared" si="24"/>
        <v>0.28187231348371056</v>
      </c>
      <c r="Y147" s="2">
        <f t="shared" si="25"/>
        <v>-0.1328143224616908</v>
      </c>
    </row>
    <row r="148" spans="1:25" ht="12.75">
      <c r="A148" s="3">
        <f t="shared" si="29"/>
        <v>62</v>
      </c>
      <c r="B148" s="2">
        <v>25840</v>
      </c>
      <c r="C148" s="2">
        <v>471.3</v>
      </c>
      <c r="D148" s="2">
        <v>153.7</v>
      </c>
      <c r="E148" s="2">
        <v>1410</v>
      </c>
      <c r="F148" s="2">
        <v>177.3</v>
      </c>
      <c r="G148" s="2">
        <v>139.7</v>
      </c>
      <c r="H148" s="2">
        <v>95.44</v>
      </c>
      <c r="I148" s="2">
        <v>3.474</v>
      </c>
      <c r="J148" s="2">
        <f t="shared" si="26"/>
        <v>0.9479090242112986</v>
      </c>
      <c r="K148" s="2">
        <f t="shared" si="30"/>
        <v>1.0422379478107033</v>
      </c>
      <c r="L148" s="2">
        <f t="shared" si="31"/>
        <v>0.6785871964679911</v>
      </c>
      <c r="M148" s="2">
        <f t="shared" si="32"/>
        <v>0.903267136450993</v>
      </c>
      <c r="N148" s="2">
        <f t="shared" si="33"/>
        <v>0.9248826291079814</v>
      </c>
      <c r="O148" s="2">
        <f t="shared" si="34"/>
        <v>1.0931142410015648</v>
      </c>
      <c r="P148" s="2">
        <f t="shared" si="35"/>
        <v>1.4553217444342788</v>
      </c>
      <c r="Q148" s="2">
        <f t="shared" si="36"/>
        <v>0.7287602265575833</v>
      </c>
      <c r="R148" s="2">
        <f t="shared" si="27"/>
        <v>-0.023233342175608258</v>
      </c>
      <c r="S148" s="2">
        <f t="shared" si="19"/>
        <v>0.017966881750294896</v>
      </c>
      <c r="T148" s="2">
        <f t="shared" si="20"/>
        <v>-0.16839433884910557</v>
      </c>
      <c r="U148" s="2">
        <f t="shared" si="21"/>
        <v>-0.044183790407037585</v>
      </c>
      <c r="V148" s="2">
        <f t="shared" si="22"/>
        <v>-0.03391337727714473</v>
      </c>
      <c r="W148" s="2">
        <f t="shared" si="23"/>
        <v>0.038665552291800506</v>
      </c>
      <c r="X148" s="2">
        <f t="shared" si="24"/>
        <v>0.16295901832893903</v>
      </c>
      <c r="Y148" s="2">
        <f t="shared" si="25"/>
        <v>-0.13741533781596219</v>
      </c>
    </row>
    <row r="149" spans="1:25" ht="12.75">
      <c r="A149" s="3">
        <f t="shared" si="29"/>
        <v>69</v>
      </c>
      <c r="B149" s="2">
        <v>25570</v>
      </c>
      <c r="C149" s="2">
        <v>466.4</v>
      </c>
      <c r="D149" s="2">
        <v>184.1</v>
      </c>
      <c r="E149" s="2">
        <v>1572</v>
      </c>
      <c r="F149" s="2">
        <v>207.4</v>
      </c>
      <c r="G149" s="2">
        <v>128.8</v>
      </c>
      <c r="H149" s="2">
        <v>62.99</v>
      </c>
      <c r="I149" s="2">
        <v>3.871</v>
      </c>
      <c r="J149" s="2">
        <f t="shared" si="26"/>
        <v>0.938004402054292</v>
      </c>
      <c r="K149" s="2">
        <f t="shared" si="30"/>
        <v>1.0314020344980097</v>
      </c>
      <c r="L149" s="2">
        <f t="shared" si="31"/>
        <v>0.81280353200883</v>
      </c>
      <c r="M149" s="2">
        <f t="shared" si="32"/>
        <v>1.0070467648942985</v>
      </c>
      <c r="N149" s="2">
        <f t="shared" si="33"/>
        <v>1.0818988002086594</v>
      </c>
      <c r="O149" s="2">
        <f t="shared" si="34"/>
        <v>1.0078247261345854</v>
      </c>
      <c r="P149" s="2">
        <f t="shared" si="35"/>
        <v>0.960506251906069</v>
      </c>
      <c r="Q149" s="2">
        <f t="shared" si="36"/>
        <v>0.8120411160058737</v>
      </c>
      <c r="R149" s="2">
        <f t="shared" si="27"/>
        <v>-0.027795123472319282</v>
      </c>
      <c r="S149" s="2">
        <f t="shared" si="19"/>
        <v>0.013427983741616748</v>
      </c>
      <c r="T149" s="2">
        <f t="shared" si="20"/>
        <v>-0.09001441784483596</v>
      </c>
      <c r="U149" s="2">
        <f t="shared" si="21"/>
        <v>0.0030496386409715522</v>
      </c>
      <c r="V149" s="2">
        <f t="shared" si="22"/>
        <v>0.03418663917495956</v>
      </c>
      <c r="W149" s="2">
        <f t="shared" si="23"/>
        <v>0.003385009201411988</v>
      </c>
      <c r="X149" s="2">
        <f t="shared" si="24"/>
        <v>-0.01749980398347376</v>
      </c>
      <c r="Y149" s="2">
        <f t="shared" si="25"/>
        <v>-0.09042198060808691</v>
      </c>
    </row>
    <row r="150" spans="1:25" ht="12.75">
      <c r="A150" s="3">
        <f t="shared" si="29"/>
        <v>76</v>
      </c>
      <c r="B150" s="2">
        <v>26540</v>
      </c>
      <c r="C150" s="2">
        <v>472.7</v>
      </c>
      <c r="D150" s="2">
        <v>169.6</v>
      </c>
      <c r="E150" s="2">
        <v>1671</v>
      </c>
      <c r="F150" s="2">
        <v>186.6</v>
      </c>
      <c r="G150" s="2">
        <v>140.2</v>
      </c>
      <c r="H150" s="2">
        <v>70.26</v>
      </c>
      <c r="I150" s="2">
        <v>3.832</v>
      </c>
      <c r="J150" s="2">
        <f t="shared" si="26"/>
        <v>0.9735876742479824</v>
      </c>
      <c r="K150" s="2">
        <f t="shared" si="30"/>
        <v>1.0453339230429013</v>
      </c>
      <c r="L150" s="2">
        <f t="shared" si="31"/>
        <v>0.7487858719646799</v>
      </c>
      <c r="M150" s="2">
        <f t="shared" si="32"/>
        <v>1.0704676489429852</v>
      </c>
      <c r="N150" s="2">
        <f t="shared" si="33"/>
        <v>0.9733959311424101</v>
      </c>
      <c r="O150" s="2">
        <f t="shared" si="34"/>
        <v>1.0970266040688574</v>
      </c>
      <c r="P150" s="2">
        <f t="shared" si="35"/>
        <v>1.071363220494053</v>
      </c>
      <c r="Q150" s="2">
        <f t="shared" si="36"/>
        <v>0.803859869939165</v>
      </c>
      <c r="R150" s="2">
        <f t="shared" si="27"/>
        <v>-0.011624932970238025</v>
      </c>
      <c r="S150" s="2">
        <f t="shared" si="19"/>
        <v>0.019255044293572946</v>
      </c>
      <c r="T150" s="2">
        <f t="shared" si="20"/>
        <v>-0.12564235842815563</v>
      </c>
      <c r="U150" s="2">
        <f t="shared" si="21"/>
        <v>0.0295735468309738</v>
      </c>
      <c r="V150" s="2">
        <f t="shared" si="22"/>
        <v>-0.011710473467581433</v>
      </c>
      <c r="W150" s="2">
        <f t="shared" si="23"/>
        <v>0.040217159808258435</v>
      </c>
      <c r="X150" s="2">
        <f t="shared" si="24"/>
        <v>0.029936733122660344</v>
      </c>
      <c r="Y150" s="2">
        <f t="shared" si="25"/>
        <v>-0.09481965152053522</v>
      </c>
    </row>
    <row r="151" spans="1:25" ht="12.75">
      <c r="A151" s="3">
        <f t="shared" si="29"/>
        <v>83</v>
      </c>
      <c r="B151" s="2">
        <v>26270</v>
      </c>
      <c r="C151" s="2">
        <v>467.7</v>
      </c>
      <c r="D151" s="2">
        <v>193.8</v>
      </c>
      <c r="E151" s="2">
        <v>1615</v>
      </c>
      <c r="F151" s="2">
        <v>184.6</v>
      </c>
      <c r="G151" s="2">
        <v>123.1</v>
      </c>
      <c r="H151" s="2">
        <v>56.08</v>
      </c>
      <c r="I151" s="2">
        <v>3.884</v>
      </c>
      <c r="J151" s="2">
        <f t="shared" si="26"/>
        <v>0.9636830520909758</v>
      </c>
      <c r="K151" s="2">
        <f t="shared" si="30"/>
        <v>1.0342768686421937</v>
      </c>
      <c r="L151" s="2">
        <f t="shared" si="31"/>
        <v>0.8556291390728478</v>
      </c>
      <c r="M151" s="2">
        <f t="shared" si="32"/>
        <v>1.034593209481102</v>
      </c>
      <c r="N151" s="2">
        <f t="shared" si="33"/>
        <v>0.962962962962963</v>
      </c>
      <c r="O151" s="2">
        <f t="shared" si="34"/>
        <v>0.9632237871674492</v>
      </c>
      <c r="P151" s="2">
        <f t="shared" si="35"/>
        <v>0.8551387618176273</v>
      </c>
      <c r="Q151" s="2">
        <f t="shared" si="36"/>
        <v>0.8147681980281098</v>
      </c>
      <c r="R151" s="2">
        <f t="shared" si="27"/>
        <v>-0.01606577871258445</v>
      </c>
      <c r="S151" s="2">
        <f t="shared" si="19"/>
        <v>0.014636811899163195</v>
      </c>
      <c r="T151" s="2">
        <f t="shared" si="20"/>
        <v>-0.06771443363410411</v>
      </c>
      <c r="U151" s="2">
        <f t="shared" si="21"/>
        <v>0.014769623604704206</v>
      </c>
      <c r="V151" s="2">
        <f t="shared" si="22"/>
        <v>-0.016390416188169322</v>
      </c>
      <c r="W151" s="2">
        <f t="shared" si="23"/>
        <v>-0.016272800891065038</v>
      </c>
      <c r="X151" s="2">
        <f t="shared" si="24"/>
        <v>-0.06796340737474421</v>
      </c>
      <c r="Y151" s="2">
        <f t="shared" si="25"/>
        <v>-0.08896593069107478</v>
      </c>
    </row>
    <row r="152" spans="1:25" ht="12.75">
      <c r="A152" s="3">
        <f t="shared" si="29"/>
        <v>90</v>
      </c>
      <c r="B152" s="2">
        <v>27260</v>
      </c>
      <c r="C152" s="2">
        <v>452.2</v>
      </c>
      <c r="D152" s="2">
        <v>226.5</v>
      </c>
      <c r="E152" s="2">
        <v>1561</v>
      </c>
      <c r="F152" s="2">
        <v>191.7</v>
      </c>
      <c r="G152" s="2">
        <v>127.8</v>
      </c>
      <c r="H152" s="2">
        <v>65.58</v>
      </c>
      <c r="I152" s="2">
        <v>4.767</v>
      </c>
      <c r="J152" s="2">
        <f t="shared" si="26"/>
        <v>1</v>
      </c>
      <c r="K152" s="2">
        <f t="shared" si="30"/>
        <v>1</v>
      </c>
      <c r="L152" s="2">
        <f t="shared" si="31"/>
        <v>1</v>
      </c>
      <c r="M152" s="2">
        <f t="shared" si="32"/>
        <v>1</v>
      </c>
      <c r="N152" s="2">
        <f t="shared" si="33"/>
        <v>1</v>
      </c>
      <c r="O152" s="2">
        <f t="shared" si="34"/>
        <v>1</v>
      </c>
      <c r="P152" s="2">
        <f t="shared" si="35"/>
        <v>1</v>
      </c>
      <c r="Q152" s="2">
        <f t="shared" si="36"/>
        <v>1</v>
      </c>
      <c r="R152" s="2">
        <f t="shared" si="27"/>
        <v>0</v>
      </c>
      <c r="S152" s="2">
        <f t="shared" si="19"/>
        <v>0</v>
      </c>
      <c r="T152" s="2">
        <f t="shared" si="20"/>
        <v>0</v>
      </c>
      <c r="U152" s="2">
        <f t="shared" si="21"/>
        <v>0</v>
      </c>
      <c r="V152" s="2">
        <f t="shared" si="22"/>
        <v>0</v>
      </c>
      <c r="W152" s="2">
        <f t="shared" si="23"/>
        <v>0</v>
      </c>
      <c r="X152" s="2">
        <f t="shared" si="24"/>
        <v>0</v>
      </c>
      <c r="Y152" s="2">
        <f t="shared" si="25"/>
        <v>0</v>
      </c>
    </row>
    <row r="154" ht="12.75">
      <c r="A154" s="2" t="s">
        <v>101</v>
      </c>
    </row>
    <row r="155" spans="9:16" ht="12.75">
      <c r="I155" s="6" t="s">
        <v>103</v>
      </c>
      <c r="P155" s="6" t="s">
        <v>104</v>
      </c>
    </row>
    <row r="156" spans="1:22" ht="12.75">
      <c r="A156" s="2" t="s">
        <v>102</v>
      </c>
      <c r="B156" t="s">
        <v>97</v>
      </c>
      <c r="C156" t="s">
        <v>90</v>
      </c>
      <c r="D156" t="s">
        <v>87</v>
      </c>
      <c r="E156" t="s">
        <v>88</v>
      </c>
      <c r="F156" t="s">
        <v>89</v>
      </c>
      <c r="G156" t="s">
        <v>91</v>
      </c>
      <c r="H156" t="s">
        <v>92</v>
      </c>
      <c r="I156" t="s">
        <v>97</v>
      </c>
      <c r="J156" t="s">
        <v>90</v>
      </c>
      <c r="K156" t="s">
        <v>87</v>
      </c>
      <c r="L156" t="s">
        <v>88</v>
      </c>
      <c r="M156" t="s">
        <v>89</v>
      </c>
      <c r="N156" t="s">
        <v>91</v>
      </c>
      <c r="O156" t="s">
        <v>92</v>
      </c>
      <c r="P156" t="s">
        <v>97</v>
      </c>
      <c r="Q156" t="s">
        <v>90</v>
      </c>
      <c r="R156" t="s">
        <v>87</v>
      </c>
      <c r="S156" t="s">
        <v>88</v>
      </c>
      <c r="T156" t="s">
        <v>89</v>
      </c>
      <c r="U156" t="s">
        <v>91</v>
      </c>
      <c r="V156" t="s">
        <v>92</v>
      </c>
    </row>
    <row r="157" spans="1:15" ht="12.75">
      <c r="A157" s="2">
        <v>11</v>
      </c>
      <c r="B157" s="2">
        <f>AVERAGE(B130)</f>
        <v>12</v>
      </c>
      <c r="I157" s="2">
        <f>IF(B157="","",B157/B$179)</f>
        <v>0.0003605769230769231</v>
      </c>
      <c r="J157" s="2">
        <f aca="true" t="shared" si="37" ref="J157:O172">IF(C157="","",C157/C$179)</f>
      </c>
      <c r="K157" s="2">
        <f t="shared" si="37"/>
      </c>
      <c r="L157" s="2">
        <f t="shared" si="37"/>
      </c>
      <c r="M157" s="2">
        <f t="shared" si="37"/>
      </c>
      <c r="N157" s="2">
        <f t="shared" si="37"/>
      </c>
      <c r="O157" s="2">
        <f t="shared" si="37"/>
      </c>
    </row>
    <row r="158" spans="1:16" s="6" customFormat="1" ht="12.75">
      <c r="A158" s="6">
        <v>12</v>
      </c>
      <c r="B158" s="5">
        <f aca="true" t="shared" si="38" ref="B158:B167">AVERAGE(B131,B98)</f>
        <v>26.9975</v>
      </c>
      <c r="C158" s="5"/>
      <c r="D158" s="5"/>
      <c r="E158" s="5"/>
      <c r="F158" s="5"/>
      <c r="G158" s="5"/>
      <c r="H158" s="5"/>
      <c r="I158" s="6">
        <f aca="true" t="shared" si="39" ref="I158:I179">IF(B158="","",B158/B$179)</f>
        <v>0.0008112229567307692</v>
      </c>
      <c r="J158" s="6">
        <f t="shared" si="37"/>
      </c>
      <c r="K158" s="6">
        <f t="shared" si="37"/>
      </c>
      <c r="L158" s="6">
        <f t="shared" si="37"/>
      </c>
      <c r="M158" s="6">
        <f t="shared" si="37"/>
      </c>
      <c r="N158" s="6">
        <f t="shared" si="37"/>
      </c>
      <c r="O158" s="6">
        <f t="shared" si="37"/>
      </c>
      <c r="P158" s="6">
        <f>100*(I158-I157)/($A158-$A157)</f>
        <v>0.045064603365384606</v>
      </c>
    </row>
    <row r="159" spans="1:16" ht="12.75">
      <c r="A159" s="2">
        <v>13</v>
      </c>
      <c r="B159" s="4">
        <f t="shared" si="38"/>
        <v>67.45500000000001</v>
      </c>
      <c r="C159" s="4">
        <f aca="true" t="shared" si="40" ref="C159:C167">AVERAGE(C132,C99)</f>
        <v>6.564500000000001</v>
      </c>
      <c r="D159" s="4"/>
      <c r="E159" s="4">
        <f aca="true" t="shared" si="41" ref="E159:F162">AVERAGE(E132,E99)</f>
        <v>5.02825</v>
      </c>
      <c r="F159" s="4">
        <f t="shared" si="41"/>
        <v>0.35935</v>
      </c>
      <c r="G159" s="4"/>
      <c r="H159" s="4"/>
      <c r="I159" s="2">
        <f t="shared" si="39"/>
        <v>0.0020268930288461543</v>
      </c>
      <c r="J159" s="2">
        <f t="shared" si="37"/>
        <v>0.01456997003662191</v>
      </c>
      <c r="K159" s="2">
        <f t="shared" si="37"/>
      </c>
      <c r="L159" s="2">
        <f t="shared" si="37"/>
        <v>0.0031604336895034568</v>
      </c>
      <c r="M159" s="2">
        <f t="shared" si="37"/>
        <v>0.0018662685016878732</v>
      </c>
      <c r="N159" s="2">
        <f t="shared" si="37"/>
      </c>
      <c r="O159" s="2">
        <f t="shared" si="37"/>
      </c>
      <c r="P159" s="2">
        <f aca="true" t="shared" si="42" ref="P159:P179">100*(I159-I158)/($A159-$A158)</f>
        <v>0.12156700721153851</v>
      </c>
    </row>
    <row r="160" spans="1:20" ht="12.75">
      <c r="A160" s="2">
        <v>14</v>
      </c>
      <c r="B160" s="4">
        <f t="shared" si="38"/>
        <v>203.25</v>
      </c>
      <c r="C160" s="4">
        <f t="shared" si="40"/>
        <v>16.305</v>
      </c>
      <c r="D160" s="4">
        <f aca="true" t="shared" si="43" ref="D160:D167">AVERAGE(D133,D100)</f>
        <v>0.26149999999999995</v>
      </c>
      <c r="E160" s="4">
        <f t="shared" si="41"/>
        <v>20.47</v>
      </c>
      <c r="F160" s="4">
        <f t="shared" si="41"/>
        <v>2.6849999999999996</v>
      </c>
      <c r="G160" s="4"/>
      <c r="H160" s="4"/>
      <c r="I160" s="2">
        <f t="shared" si="39"/>
        <v>0.006107271634615385</v>
      </c>
      <c r="J160" s="2">
        <f t="shared" si="37"/>
        <v>0.03618910220841194</v>
      </c>
      <c r="K160" s="2">
        <f t="shared" si="37"/>
        <v>0.0010159285159285158</v>
      </c>
      <c r="L160" s="2">
        <f t="shared" si="37"/>
        <v>0.012866121935889378</v>
      </c>
      <c r="M160" s="2">
        <f t="shared" si="37"/>
        <v>0.013944430018177094</v>
      </c>
      <c r="N160" s="2">
        <f t="shared" si="37"/>
      </c>
      <c r="O160" s="2">
        <f t="shared" si="37"/>
      </c>
      <c r="P160" s="2">
        <f t="shared" si="42"/>
        <v>0.4080378605769231</v>
      </c>
      <c r="Q160" s="2">
        <f aca="true" t="shared" si="44" ref="Q160:V173">100*(J160-J159)/($A160-$A159)</f>
        <v>2.1619132171790034</v>
      </c>
      <c r="S160" s="2">
        <f t="shared" si="44"/>
        <v>0.9705688246385921</v>
      </c>
      <c r="T160" s="2">
        <f t="shared" si="44"/>
        <v>1.207816151648922</v>
      </c>
    </row>
    <row r="161" spans="1:20" ht="12.75">
      <c r="A161" s="2">
        <v>15</v>
      </c>
      <c r="B161" s="4">
        <f t="shared" si="38"/>
        <v>505.04999999999995</v>
      </c>
      <c r="C161" s="4">
        <f t="shared" si="40"/>
        <v>36.43</v>
      </c>
      <c r="D161" s="4">
        <f t="shared" si="43"/>
        <v>0.8739874999999999</v>
      </c>
      <c r="E161" s="4">
        <f t="shared" si="41"/>
        <v>36.65</v>
      </c>
      <c r="F161" s="4">
        <f t="shared" si="41"/>
        <v>9.593</v>
      </c>
      <c r="G161" s="4">
        <f>AVERAGE(G134,G101)</f>
        <v>0.37055</v>
      </c>
      <c r="H161" s="4">
        <f>AVERAGE(H134,H101)</f>
        <v>0.2935</v>
      </c>
      <c r="I161" s="2">
        <f t="shared" si="39"/>
        <v>0.01517578125</v>
      </c>
      <c r="J161" s="2">
        <f t="shared" si="37"/>
        <v>0.0808567306625236</v>
      </c>
      <c r="K161" s="2">
        <f t="shared" si="37"/>
        <v>0.003395444832944833</v>
      </c>
      <c r="L161" s="2">
        <f t="shared" si="37"/>
        <v>0.023035826524198617</v>
      </c>
      <c r="M161" s="2">
        <f t="shared" si="37"/>
        <v>0.04982082575954297</v>
      </c>
      <c r="N161" s="2">
        <f t="shared" si="37"/>
        <v>0.0028747090768037236</v>
      </c>
      <c r="O161" s="2">
        <f t="shared" si="37"/>
        <v>0.00502482451634994</v>
      </c>
      <c r="P161" s="2">
        <f t="shared" si="42"/>
        <v>0.9068509615384613</v>
      </c>
      <c r="Q161" s="2">
        <f t="shared" si="44"/>
        <v>4.466762845411165</v>
      </c>
      <c r="R161" s="2">
        <f t="shared" si="44"/>
        <v>0.23795163170163172</v>
      </c>
      <c r="S161" s="2">
        <f t="shared" si="44"/>
        <v>1.016970458830924</v>
      </c>
      <c r="T161" s="2">
        <f t="shared" si="44"/>
        <v>3.587639574136588</v>
      </c>
    </row>
    <row r="162" spans="1:22" ht="12.75">
      <c r="A162" s="2">
        <v>16</v>
      </c>
      <c r="B162" s="4">
        <f t="shared" si="38"/>
        <v>837.35</v>
      </c>
      <c r="C162" s="4">
        <f t="shared" si="40"/>
        <v>46.965</v>
      </c>
      <c r="D162" s="4">
        <f t="shared" si="43"/>
        <v>1.9260000000000002</v>
      </c>
      <c r="E162" s="4">
        <f t="shared" si="41"/>
        <v>63.8525</v>
      </c>
      <c r="F162" s="4">
        <f t="shared" si="41"/>
        <v>26.6</v>
      </c>
      <c r="G162" s="4">
        <f>AVERAGE(G135,G102)</f>
        <v>0.9101999999999999</v>
      </c>
      <c r="H162" s="4">
        <f>AVERAGE(H135,H102)</f>
        <v>0.73895</v>
      </c>
      <c r="I162" s="2">
        <f t="shared" si="39"/>
        <v>0.025160757211538463</v>
      </c>
      <c r="J162" s="2">
        <f t="shared" si="37"/>
        <v>0.10423926312284987</v>
      </c>
      <c r="K162" s="2">
        <f t="shared" si="37"/>
        <v>0.007482517482517484</v>
      </c>
      <c r="L162" s="2">
        <f t="shared" si="37"/>
        <v>0.04013356379635449</v>
      </c>
      <c r="M162" s="2">
        <f t="shared" si="37"/>
        <v>0.13814593612048817</v>
      </c>
      <c r="N162" s="2">
        <f t="shared" si="37"/>
        <v>0.007061287820015515</v>
      </c>
      <c r="O162" s="2">
        <f t="shared" si="37"/>
        <v>0.012651087142612568</v>
      </c>
      <c r="P162" s="2">
        <f t="shared" si="42"/>
        <v>0.9984975961538464</v>
      </c>
      <c r="Q162" s="2">
        <f t="shared" si="44"/>
        <v>2.3382532460326275</v>
      </c>
      <c r="R162" s="2">
        <f t="shared" si="44"/>
        <v>0.40870726495726506</v>
      </c>
      <c r="S162" s="2">
        <f t="shared" si="44"/>
        <v>1.7097737272155875</v>
      </c>
      <c r="T162" s="2">
        <f t="shared" si="44"/>
        <v>8.83251103609452</v>
      </c>
      <c r="U162" s="2">
        <f t="shared" si="44"/>
        <v>0.4186578743211791</v>
      </c>
      <c r="V162" s="2">
        <f t="shared" si="44"/>
        <v>0.7626262626262628</v>
      </c>
    </row>
    <row r="163" spans="1:20" ht="12.75">
      <c r="A163" s="2">
        <v>17</v>
      </c>
      <c r="B163" s="4">
        <f t="shared" si="38"/>
        <v>1122</v>
      </c>
      <c r="C163" s="4">
        <f t="shared" si="40"/>
        <v>58.495000000000005</v>
      </c>
      <c r="D163" s="4">
        <f t="shared" si="43"/>
        <v>2.259</v>
      </c>
      <c r="E163" s="4"/>
      <c r="F163" s="4">
        <f>AVERAGE(F136,F103)</f>
        <v>28.24</v>
      </c>
      <c r="G163" s="4"/>
      <c r="H163" s="4"/>
      <c r="I163" s="2">
        <f t="shared" si="39"/>
        <v>0.033713942307692306</v>
      </c>
      <c r="J163" s="2">
        <f t="shared" si="37"/>
        <v>0.12983020752413718</v>
      </c>
      <c r="K163" s="2">
        <f t="shared" si="37"/>
        <v>0.008776223776223776</v>
      </c>
      <c r="L163" s="2">
        <f t="shared" si="37"/>
      </c>
      <c r="M163" s="2">
        <f t="shared" si="37"/>
        <v>0.14666320436250324</v>
      </c>
      <c r="N163" s="2">
        <f t="shared" si="37"/>
      </c>
      <c r="O163" s="2">
        <f t="shared" si="37"/>
      </c>
      <c r="P163" s="2">
        <f t="shared" si="42"/>
        <v>0.8553185096153844</v>
      </c>
      <c r="Q163" s="2">
        <f t="shared" si="44"/>
        <v>2.559094440128731</v>
      </c>
      <c r="R163" s="2">
        <f t="shared" si="44"/>
        <v>0.12937062937062924</v>
      </c>
      <c r="T163" s="2">
        <f t="shared" si="44"/>
        <v>0.8517268242015069</v>
      </c>
    </row>
    <row r="164" spans="1:22" ht="12.75">
      <c r="A164" s="2">
        <v>18</v>
      </c>
      <c r="B164" s="4">
        <f t="shared" si="38"/>
        <v>1465</v>
      </c>
      <c r="C164" s="4">
        <f t="shared" si="40"/>
        <v>73.94999999999999</v>
      </c>
      <c r="D164" s="4">
        <f t="shared" si="43"/>
        <v>3.689</v>
      </c>
      <c r="E164" s="4">
        <f>AVERAGE(E137,E104)</f>
        <v>95.0325</v>
      </c>
      <c r="F164" s="4">
        <f>AVERAGE(F137,F104)</f>
        <v>32.31</v>
      </c>
      <c r="G164" s="4"/>
      <c r="H164" s="4">
        <f>AVERAGE(H137,H104)</f>
        <v>4.064</v>
      </c>
      <c r="I164" s="2">
        <f t="shared" si="39"/>
        <v>0.044020432692307696</v>
      </c>
      <c r="J164" s="2">
        <f t="shared" si="37"/>
        <v>0.1641327266674065</v>
      </c>
      <c r="K164" s="2">
        <f t="shared" si="37"/>
        <v>0.014331779331779333</v>
      </c>
      <c r="L164" s="2">
        <f t="shared" si="37"/>
        <v>0.05973130106851037</v>
      </c>
      <c r="M164" s="2">
        <f t="shared" si="37"/>
        <v>0.16780057128018697</v>
      </c>
      <c r="N164" s="2">
        <f t="shared" si="37"/>
      </c>
      <c r="O164" s="2">
        <f t="shared" si="37"/>
        <v>0.06957712720424586</v>
      </c>
      <c r="P164" s="2">
        <f t="shared" si="42"/>
        <v>1.030649038461539</v>
      </c>
      <c r="Q164" s="2">
        <f t="shared" si="44"/>
        <v>3.4302519143269317</v>
      </c>
      <c r="R164" s="2">
        <f t="shared" si="44"/>
        <v>0.5555555555555557</v>
      </c>
      <c r="S164" s="2">
        <f>100*(L164-L162)/($A164-$A162)</f>
        <v>0.9798868636077939</v>
      </c>
      <c r="T164" s="2">
        <f t="shared" si="44"/>
        <v>2.1137366917683726</v>
      </c>
      <c r="V164" s="2">
        <f>100*(O164-O162)/($A164-$A162)</f>
        <v>2.846302003081665</v>
      </c>
    </row>
    <row r="165" spans="1:22" ht="12.75">
      <c r="A165" s="2">
        <v>19</v>
      </c>
      <c r="B165" s="4">
        <f t="shared" si="38"/>
        <v>1623.5</v>
      </c>
      <c r="C165" s="4">
        <f t="shared" si="40"/>
        <v>79.31</v>
      </c>
      <c r="D165" s="4">
        <f t="shared" si="43"/>
        <v>3.538</v>
      </c>
      <c r="E165" s="4">
        <f>AVERAGE(E138,E105)</f>
        <v>97.47</v>
      </c>
      <c r="F165" s="4">
        <f>AVERAGE(F138,F105)</f>
        <v>34.715</v>
      </c>
      <c r="G165" s="4"/>
      <c r="H165" s="4">
        <f>AVERAGE(H138,H105)</f>
        <v>4.223</v>
      </c>
      <c r="I165" s="2">
        <f t="shared" si="39"/>
        <v>0.04878305288461538</v>
      </c>
      <c r="J165" s="2">
        <f t="shared" si="37"/>
        <v>0.17602929752524693</v>
      </c>
      <c r="K165" s="2">
        <f t="shared" si="37"/>
        <v>0.013745143745143745</v>
      </c>
      <c r="L165" s="2">
        <f t="shared" si="37"/>
        <v>0.061263356379635446</v>
      </c>
      <c r="M165" s="2">
        <f t="shared" si="37"/>
        <v>0.18029083354972736</v>
      </c>
      <c r="N165" s="2">
        <f t="shared" si="37"/>
      </c>
      <c r="O165" s="2">
        <f t="shared" si="37"/>
        <v>0.07229926382468756</v>
      </c>
      <c r="P165" s="2">
        <f t="shared" si="42"/>
        <v>0.4762620192307686</v>
      </c>
      <c r="Q165" s="2">
        <f t="shared" si="44"/>
        <v>1.1896570857840434</v>
      </c>
      <c r="R165" s="2">
        <f t="shared" si="44"/>
        <v>-0.05866355866355876</v>
      </c>
      <c r="S165" s="2">
        <f t="shared" si="44"/>
        <v>0.15320553111250745</v>
      </c>
      <c r="T165" s="2">
        <f t="shared" si="44"/>
        <v>1.2490262269540393</v>
      </c>
      <c r="V165" s="2">
        <f t="shared" si="44"/>
        <v>0.2722136620441698</v>
      </c>
    </row>
    <row r="166" spans="1:21" s="6" customFormat="1" ht="12.75">
      <c r="A166" s="6">
        <v>20</v>
      </c>
      <c r="B166" s="5">
        <f t="shared" si="38"/>
        <v>1647</v>
      </c>
      <c r="C166" s="5">
        <f t="shared" si="40"/>
        <v>103.52000000000001</v>
      </c>
      <c r="D166" s="5">
        <f t="shared" si="43"/>
        <v>4.226</v>
      </c>
      <c r="E166" s="5"/>
      <c r="F166" s="5">
        <f>AVERAGE(F139,F106)</f>
        <v>35.915000000000006</v>
      </c>
      <c r="G166" s="5">
        <f>AVERAGE(G139,G106)</f>
        <v>4.1185</v>
      </c>
      <c r="H166" s="5"/>
      <c r="I166" s="6">
        <f t="shared" si="39"/>
        <v>0.04948918269230769</v>
      </c>
      <c r="J166" s="6">
        <f t="shared" si="37"/>
        <v>0.22976362223948513</v>
      </c>
      <c r="K166" s="6">
        <f t="shared" si="37"/>
        <v>0.016418026418026418</v>
      </c>
      <c r="L166" s="6">
        <f t="shared" si="37"/>
      </c>
      <c r="M166" s="6">
        <f t="shared" si="37"/>
        <v>0.18652298104388473</v>
      </c>
      <c r="N166" s="6">
        <f t="shared" si="37"/>
        <v>0.0319511249030256</v>
      </c>
      <c r="O166" s="6">
        <f t="shared" si="37"/>
      </c>
      <c r="P166" s="6">
        <f t="shared" si="42"/>
        <v>0.07061298076923087</v>
      </c>
      <c r="Q166" s="6">
        <f t="shared" si="44"/>
        <v>5.373432471423819</v>
      </c>
      <c r="R166" s="6">
        <f t="shared" si="44"/>
        <v>0.26728826728826727</v>
      </c>
      <c r="T166" s="6">
        <f t="shared" si="44"/>
        <v>0.6232147494157375</v>
      </c>
      <c r="U166" s="6">
        <f>100*(N166-N162)/($A166-$A162)</f>
        <v>0.6222459270752523</v>
      </c>
    </row>
    <row r="167" spans="1:22" ht="12.75">
      <c r="A167" s="2">
        <v>21</v>
      </c>
      <c r="B167" s="4">
        <f t="shared" si="38"/>
        <v>1985</v>
      </c>
      <c r="C167" s="4">
        <f t="shared" si="40"/>
        <v>123.5</v>
      </c>
      <c r="D167" s="4">
        <f t="shared" si="43"/>
        <v>12.135</v>
      </c>
      <c r="E167" s="4">
        <f>AVERAGE(E140,E107)</f>
        <v>74.86</v>
      </c>
      <c r="F167" s="4">
        <f>AVERAGE(F140,F107)</f>
        <v>40.5025</v>
      </c>
      <c r="G167" s="4"/>
      <c r="H167" s="4">
        <f>AVERAGE(H140,H107)</f>
        <v>8.549</v>
      </c>
      <c r="I167" s="2">
        <f t="shared" si="39"/>
        <v>0.059645432692307696</v>
      </c>
      <c r="J167" s="2">
        <f t="shared" si="37"/>
        <v>0.2741094218177783</v>
      </c>
      <c r="K167" s="2">
        <f t="shared" si="37"/>
        <v>0.047144522144522145</v>
      </c>
      <c r="L167" s="2">
        <f t="shared" si="37"/>
        <v>0.047052168447517285</v>
      </c>
      <c r="M167" s="2">
        <f t="shared" si="37"/>
        <v>0.21034796156842375</v>
      </c>
      <c r="N167" s="2">
        <f t="shared" si="37"/>
      </c>
      <c r="O167" s="2">
        <f t="shared" si="37"/>
        <v>0.14636192432802603</v>
      </c>
      <c r="P167" s="2">
        <f t="shared" si="42"/>
        <v>1.0156250000000004</v>
      </c>
      <c r="Q167" s="2">
        <f t="shared" si="44"/>
        <v>4.434579957829318</v>
      </c>
      <c r="R167" s="2">
        <f t="shared" si="44"/>
        <v>3.072649572649573</v>
      </c>
      <c r="S167" s="2">
        <f>100*(L167-L165)/($A167-$A165)</f>
        <v>-0.7105593966059081</v>
      </c>
      <c r="T167" s="2">
        <f t="shared" si="44"/>
        <v>2.3824980524539017</v>
      </c>
      <c r="V167" s="2">
        <f>100*(O167-O165)/($A167-$A165)</f>
        <v>3.7031330251669234</v>
      </c>
    </row>
    <row r="168" spans="1:22" ht="12.75">
      <c r="A168" s="2">
        <v>23</v>
      </c>
      <c r="B168" s="4">
        <f aca="true" t="shared" si="45" ref="B168:B179">AVERAGE(B109,B141)</f>
        <v>2563</v>
      </c>
      <c r="C168" s="4">
        <f aca="true" t="shared" si="46" ref="C168:H168">AVERAGE(C109,C141)</f>
        <v>164.7</v>
      </c>
      <c r="D168" s="4">
        <f t="shared" si="46"/>
        <v>14.7</v>
      </c>
      <c r="E168" s="4">
        <f t="shared" si="46"/>
        <v>95.23</v>
      </c>
      <c r="F168" s="4">
        <f t="shared" si="46"/>
        <v>65.695</v>
      </c>
      <c r="G168" s="4">
        <f t="shared" si="46"/>
        <v>10.89</v>
      </c>
      <c r="H168" s="4">
        <f t="shared" si="46"/>
        <v>10.79</v>
      </c>
      <c r="I168" s="2">
        <f t="shared" si="39"/>
        <v>0.07701322115384615</v>
      </c>
      <c r="J168" s="2">
        <f t="shared" si="37"/>
        <v>0.3655532127399845</v>
      </c>
      <c r="K168" s="2">
        <f t="shared" si="37"/>
        <v>0.05710955710955711</v>
      </c>
      <c r="L168" s="2">
        <f t="shared" si="37"/>
        <v>0.05985543683218102</v>
      </c>
      <c r="M168" s="2">
        <f t="shared" si="37"/>
        <v>0.3411841080238898</v>
      </c>
      <c r="N168" s="2">
        <f t="shared" si="37"/>
        <v>0.08448409619860357</v>
      </c>
      <c r="O168" s="2">
        <f t="shared" si="37"/>
        <v>0.184728642355761</v>
      </c>
      <c r="P168" s="2">
        <f t="shared" si="42"/>
        <v>0.8683894230769228</v>
      </c>
      <c r="Q168" s="2">
        <f t="shared" si="44"/>
        <v>4.572189546110309</v>
      </c>
      <c r="R168" s="2">
        <f t="shared" si="44"/>
        <v>0.49825174825174834</v>
      </c>
      <c r="S168" s="2">
        <f t="shared" si="44"/>
        <v>0.6401634192331869</v>
      </c>
      <c r="T168" s="2">
        <f t="shared" si="44"/>
        <v>6.541807322773304</v>
      </c>
      <c r="U168" s="2">
        <f>100*(N168-N166)/($A168-$A166)</f>
        <v>1.7510990431859323</v>
      </c>
      <c r="V168" s="2">
        <f t="shared" si="44"/>
        <v>1.9183359013867487</v>
      </c>
    </row>
    <row r="169" spans="1:22" ht="12.75">
      <c r="A169" s="2">
        <v>26</v>
      </c>
      <c r="B169" s="4">
        <f t="shared" si="45"/>
        <v>4416</v>
      </c>
      <c r="C169" s="4">
        <f aca="true" t="shared" si="47" ref="C169:F179">AVERAGE(C110,C142)</f>
        <v>220.2</v>
      </c>
      <c r="D169" s="4">
        <f t="shared" si="47"/>
        <v>25.16</v>
      </c>
      <c r="E169" s="4">
        <f t="shared" si="47"/>
        <v>129.4</v>
      </c>
      <c r="F169" s="4">
        <f t="shared" si="47"/>
        <v>96.465</v>
      </c>
      <c r="G169" s="4"/>
      <c r="H169" s="4">
        <f aca="true" t="shared" si="48" ref="H169:H179">AVERAGE(H110,H142)</f>
        <v>24.59</v>
      </c>
      <c r="I169" s="2">
        <f t="shared" si="39"/>
        <v>0.1326923076923077</v>
      </c>
      <c r="J169" s="2">
        <f t="shared" si="37"/>
        <v>0.4887359893463545</v>
      </c>
      <c r="K169" s="2">
        <f t="shared" si="37"/>
        <v>0.09774669774669775</v>
      </c>
      <c r="L169" s="2">
        <f t="shared" si="37"/>
        <v>0.08133249528598366</v>
      </c>
      <c r="M169" s="2">
        <f t="shared" si="37"/>
        <v>0.5009867566865749</v>
      </c>
      <c r="N169" s="2">
        <f t="shared" si="37"/>
      </c>
      <c r="O169" s="2">
        <f t="shared" si="37"/>
        <v>0.4209895565827769</v>
      </c>
      <c r="P169" s="2">
        <f t="shared" si="42"/>
        <v>1.8559695512820513</v>
      </c>
      <c r="Q169" s="2">
        <f t="shared" si="44"/>
        <v>4.106092553545667</v>
      </c>
      <c r="R169" s="2">
        <f t="shared" si="44"/>
        <v>1.3545713545713547</v>
      </c>
      <c r="S169" s="2">
        <f t="shared" si="44"/>
        <v>0.7159019484600878</v>
      </c>
      <c r="T169" s="2">
        <f t="shared" si="44"/>
        <v>5.326754955422835</v>
      </c>
      <c r="V169" s="2">
        <f t="shared" si="44"/>
        <v>7.875363807567197</v>
      </c>
    </row>
    <row r="170" spans="1:22" ht="12.75">
      <c r="A170" s="2">
        <v>27</v>
      </c>
      <c r="B170" s="4">
        <f t="shared" si="45"/>
        <v>5245.5</v>
      </c>
      <c r="C170" s="4">
        <f t="shared" si="47"/>
        <v>320.1</v>
      </c>
      <c r="D170" s="4">
        <f t="shared" si="47"/>
        <v>44.34</v>
      </c>
      <c r="E170" s="4">
        <f t="shared" si="47"/>
        <v>160.5</v>
      </c>
      <c r="F170" s="4">
        <f t="shared" si="47"/>
        <v>89.16</v>
      </c>
      <c r="G170" s="4">
        <f aca="true" t="shared" si="49" ref="G170:G179">AVERAGE(G111,G143)</f>
        <v>34.46</v>
      </c>
      <c r="H170" s="4">
        <f t="shared" si="48"/>
        <v>24.12</v>
      </c>
      <c r="I170" s="2">
        <f t="shared" si="39"/>
        <v>0.1576171875</v>
      </c>
      <c r="J170" s="2">
        <f t="shared" si="37"/>
        <v>0.7104649872378206</v>
      </c>
      <c r="K170" s="2">
        <f t="shared" si="37"/>
        <v>0.1722610722610723</v>
      </c>
      <c r="L170" s="2">
        <f t="shared" si="37"/>
        <v>0.10087994971715902</v>
      </c>
      <c r="M170" s="2">
        <f t="shared" si="37"/>
        <v>0.4630485588158919</v>
      </c>
      <c r="N170" s="2">
        <f t="shared" si="37"/>
        <v>0.2673390224980605</v>
      </c>
      <c r="O170" s="2">
        <f t="shared" si="37"/>
        <v>0.4129429892141757</v>
      </c>
      <c r="P170" s="2">
        <f t="shared" si="42"/>
        <v>2.4924879807692313</v>
      </c>
      <c r="Q170" s="2">
        <f t="shared" si="44"/>
        <v>22.172899789146612</v>
      </c>
      <c r="R170" s="2">
        <f t="shared" si="44"/>
        <v>7.451437451437454</v>
      </c>
      <c r="S170" s="2">
        <f t="shared" si="44"/>
        <v>1.9547454431175364</v>
      </c>
      <c r="T170" s="2">
        <f t="shared" si="44"/>
        <v>-3.7938197870682977</v>
      </c>
      <c r="U170" s="2">
        <f>100*(N170-N168)/($A170-$A168)</f>
        <v>4.571373157486423</v>
      </c>
      <c r="V170" s="2">
        <f t="shared" si="44"/>
        <v>-0.804656736860121</v>
      </c>
    </row>
    <row r="171" spans="1:22" ht="12.75">
      <c r="A171" s="2">
        <v>34</v>
      </c>
      <c r="B171" s="4">
        <f t="shared" si="45"/>
        <v>7769</v>
      </c>
      <c r="C171" s="4">
        <f t="shared" si="47"/>
        <v>397.5</v>
      </c>
      <c r="D171" s="4">
        <f t="shared" si="47"/>
        <v>66.32499999999999</v>
      </c>
      <c r="E171" s="4">
        <f t="shared" si="47"/>
        <v>334.4</v>
      </c>
      <c r="F171" s="4">
        <f t="shared" si="47"/>
        <v>116.44999999999999</v>
      </c>
      <c r="G171" s="4">
        <f t="shared" si="49"/>
        <v>64.11500000000001</v>
      </c>
      <c r="H171" s="4">
        <f t="shared" si="48"/>
        <v>48.1</v>
      </c>
      <c r="I171" s="2">
        <f t="shared" si="39"/>
        <v>0.23344350961538463</v>
      </c>
      <c r="J171" s="2">
        <f t="shared" si="37"/>
        <v>0.8822550216402176</v>
      </c>
      <c r="K171" s="2">
        <f t="shared" si="37"/>
        <v>0.25767288267288263</v>
      </c>
      <c r="L171" s="2">
        <f t="shared" si="37"/>
        <v>0.21018227529855435</v>
      </c>
      <c r="M171" s="2">
        <f t="shared" si="37"/>
        <v>0.6047779797455205</v>
      </c>
      <c r="N171" s="2">
        <f t="shared" si="37"/>
        <v>0.49740108611326617</v>
      </c>
      <c r="O171" s="2">
        <f t="shared" si="37"/>
        <v>0.8234891285738745</v>
      </c>
      <c r="P171" s="2">
        <f t="shared" si="42"/>
        <v>1.0832331730769231</v>
      </c>
      <c r="Q171" s="2">
        <f t="shared" si="44"/>
        <v>2.454143348605672</v>
      </c>
      <c r="R171" s="2">
        <f t="shared" si="44"/>
        <v>1.220168720168719</v>
      </c>
      <c r="S171" s="2">
        <f t="shared" si="44"/>
        <v>1.5614617940199333</v>
      </c>
      <c r="T171" s="2">
        <f t="shared" si="44"/>
        <v>2.0247060132804084</v>
      </c>
      <c r="U171" s="2">
        <f t="shared" si="44"/>
        <v>3.2866009087886523</v>
      </c>
      <c r="V171" s="2">
        <f t="shared" si="44"/>
        <v>5.864944847995696</v>
      </c>
    </row>
    <row r="172" spans="1:22" s="6" customFormat="1" ht="12.75">
      <c r="A172" s="6">
        <v>41</v>
      </c>
      <c r="B172" s="5">
        <f t="shared" si="45"/>
        <v>12075</v>
      </c>
      <c r="C172" s="5">
        <f t="shared" si="47"/>
        <v>389.75</v>
      </c>
      <c r="D172" s="5">
        <f t="shared" si="47"/>
        <v>91.695</v>
      </c>
      <c r="E172" s="5">
        <f t="shared" si="47"/>
        <v>531.25</v>
      </c>
      <c r="F172" s="5">
        <f t="shared" si="47"/>
        <v>125.15</v>
      </c>
      <c r="G172" s="5">
        <f t="shared" si="49"/>
        <v>102.95</v>
      </c>
      <c r="H172" s="5">
        <f t="shared" si="48"/>
        <v>60.715</v>
      </c>
      <c r="I172" s="6">
        <f t="shared" si="39"/>
        <v>0.36283052884615385</v>
      </c>
      <c r="J172" s="6">
        <f t="shared" si="37"/>
        <v>0.8650538231050938</v>
      </c>
      <c r="K172" s="6">
        <f t="shared" si="37"/>
        <v>0.3562354312354312</v>
      </c>
      <c r="L172" s="6">
        <f t="shared" si="37"/>
        <v>0.33390949088623506</v>
      </c>
      <c r="M172" s="6">
        <f t="shared" si="37"/>
        <v>0.6499610490781615</v>
      </c>
      <c r="N172" s="6">
        <f t="shared" si="37"/>
        <v>0.7986811481768813</v>
      </c>
      <c r="O172" s="6">
        <f t="shared" si="37"/>
        <v>1.0394624208183532</v>
      </c>
      <c r="P172" s="6">
        <f t="shared" si="42"/>
        <v>1.848385989010989</v>
      </c>
      <c r="Q172" s="6">
        <f t="shared" si="44"/>
        <v>-0.2457314076446258</v>
      </c>
      <c r="R172" s="6">
        <f t="shared" si="44"/>
        <v>1.4080364080364085</v>
      </c>
      <c r="S172" s="6">
        <f t="shared" si="44"/>
        <v>1.7675316512525814</v>
      </c>
      <c r="T172" s="6">
        <f t="shared" si="44"/>
        <v>0.6454724190377293</v>
      </c>
      <c r="U172" s="6">
        <f t="shared" si="44"/>
        <v>4.304000886623073</v>
      </c>
      <c r="V172" s="6">
        <f t="shared" si="44"/>
        <v>3.0853327463496956</v>
      </c>
    </row>
    <row r="173" spans="1:22" ht="12.75">
      <c r="A173" s="2">
        <v>48</v>
      </c>
      <c r="B173" s="4">
        <f t="shared" si="45"/>
        <v>16855</v>
      </c>
      <c r="C173" s="4">
        <f t="shared" si="47"/>
        <v>438.55</v>
      </c>
      <c r="D173" s="4">
        <f t="shared" si="47"/>
        <v>133.35</v>
      </c>
      <c r="E173" s="4">
        <f t="shared" si="47"/>
        <v>854.5</v>
      </c>
      <c r="F173" s="4">
        <f t="shared" si="47"/>
        <v>150.85000000000002</v>
      </c>
      <c r="G173" s="4">
        <f t="shared" si="49"/>
        <v>117.905</v>
      </c>
      <c r="H173" s="4">
        <f t="shared" si="48"/>
        <v>103.975</v>
      </c>
      <c r="I173" s="2">
        <f t="shared" si="39"/>
        <v>0.5064603365384616</v>
      </c>
      <c r="J173" s="2">
        <f aca="true" t="shared" si="50" ref="J173:J178">IF(C173="","",C173/C$179)</f>
        <v>0.9733658861391634</v>
      </c>
      <c r="K173" s="2">
        <f aca="true" t="shared" si="51" ref="K173:K178">IF(D173="","",D173/D$179)</f>
        <v>0.5180652680652681</v>
      </c>
      <c r="L173" s="2">
        <f aca="true" t="shared" si="52" ref="L173:L178">IF(E173="","",E173/E$179)</f>
        <v>0.5370835952231301</v>
      </c>
      <c r="M173" s="2">
        <f aca="true" t="shared" si="53" ref="M173:M178">IF(F173="","",F173/F$179)</f>
        <v>0.7834328745780318</v>
      </c>
      <c r="N173" s="2">
        <f aca="true" t="shared" si="54" ref="N173:N178">IF(G173="","",G173/G$179)</f>
        <v>0.914701318851823</v>
      </c>
      <c r="O173" s="2">
        <f aca="true" t="shared" si="55" ref="O173:O178">IF(H173="","",H173/H$179)</f>
        <v>1.7800890258517377</v>
      </c>
      <c r="P173" s="2">
        <f t="shared" si="42"/>
        <v>2.0518543956043955</v>
      </c>
      <c r="Q173" s="2">
        <f t="shared" si="44"/>
        <v>1.5473151862009942</v>
      </c>
      <c r="R173" s="2">
        <f t="shared" si="44"/>
        <v>2.311854811854812</v>
      </c>
      <c r="S173" s="2">
        <f t="shared" si="44"/>
        <v>2.902487204812786</v>
      </c>
      <c r="T173" s="2">
        <f t="shared" si="44"/>
        <v>1.9067403642838607</v>
      </c>
      <c r="U173" s="2">
        <f t="shared" si="44"/>
        <v>1.6574310096420248</v>
      </c>
      <c r="V173" s="2">
        <f t="shared" si="44"/>
        <v>10.580380071905493</v>
      </c>
    </row>
    <row r="174" spans="1:22" ht="12.75">
      <c r="A174" s="2">
        <v>55</v>
      </c>
      <c r="B174" s="4">
        <f t="shared" si="45"/>
        <v>24960</v>
      </c>
      <c r="C174" s="4">
        <f t="shared" si="47"/>
        <v>426.3</v>
      </c>
      <c r="D174" s="4">
        <f t="shared" si="47"/>
        <v>186.05</v>
      </c>
      <c r="E174" s="4">
        <f t="shared" si="47"/>
        <v>1465.5</v>
      </c>
      <c r="F174" s="4">
        <f t="shared" si="47"/>
        <v>171.8</v>
      </c>
      <c r="G174" s="4">
        <f t="shared" si="49"/>
        <v>147.65</v>
      </c>
      <c r="H174" s="4">
        <f t="shared" si="48"/>
        <v>106.99000000000001</v>
      </c>
      <c r="I174" s="2">
        <f t="shared" si="39"/>
        <v>0.75</v>
      </c>
      <c r="J174" s="2">
        <f t="shared" si="50"/>
        <v>0.9461768949062258</v>
      </c>
      <c r="K174" s="2">
        <f t="shared" si="51"/>
        <v>0.7228049728049729</v>
      </c>
      <c r="L174" s="2">
        <f t="shared" si="52"/>
        <v>0.9211187932118164</v>
      </c>
      <c r="M174" s="2">
        <f t="shared" si="53"/>
        <v>0.892235782913529</v>
      </c>
      <c r="N174" s="2">
        <f t="shared" si="54"/>
        <v>1.1454615981380916</v>
      </c>
      <c r="O174" s="2">
        <f t="shared" si="55"/>
        <v>1.83170689950351</v>
      </c>
      <c r="P174" s="2">
        <f t="shared" si="42"/>
        <v>3.479138049450549</v>
      </c>
      <c r="Q174" s="2">
        <f aca="true" t="shared" si="56" ref="Q174:Q179">100*(J174-J173)/($A174-$A173)</f>
        <v>-0.3884141604705373</v>
      </c>
      <c r="R174" s="2">
        <f aca="true" t="shared" si="57" ref="R174:R179">100*(K174-K173)/($A174-$A173)</f>
        <v>2.924852924852926</v>
      </c>
      <c r="S174" s="2">
        <f aca="true" t="shared" si="58" ref="S174:S179">100*(L174-L173)/($A174-$A173)</f>
        <v>5.4862171141240905</v>
      </c>
      <c r="T174" s="2">
        <f aca="true" t="shared" si="59" ref="T174:T179">100*(M174-M173)/($A174-$A173)</f>
        <v>1.5543272619356745</v>
      </c>
      <c r="U174" s="2">
        <f aca="true" t="shared" si="60" ref="U174:U179">100*(N174-N173)/($A174-$A173)</f>
        <v>3.296575418375265</v>
      </c>
      <c r="V174" s="2">
        <f aca="true" t="shared" si="61" ref="V174:V179">100*(O174-O173)/($A174-$A173)</f>
        <v>0.7373981950253183</v>
      </c>
    </row>
    <row r="175" spans="1:22" ht="12.75">
      <c r="A175" s="2">
        <v>62</v>
      </c>
      <c r="B175" s="4">
        <f t="shared" si="45"/>
        <v>27765</v>
      </c>
      <c r="C175" s="4">
        <f t="shared" si="47"/>
        <v>456.75</v>
      </c>
      <c r="D175" s="4">
        <f t="shared" si="47"/>
        <v>218.95</v>
      </c>
      <c r="E175" s="4">
        <f t="shared" si="47"/>
        <v>1658</v>
      </c>
      <c r="F175" s="4">
        <f t="shared" si="47"/>
        <v>184</v>
      </c>
      <c r="G175" s="4">
        <f t="shared" si="49"/>
        <v>139.89999999999998</v>
      </c>
      <c r="H175" s="4">
        <f t="shared" si="48"/>
        <v>88.83</v>
      </c>
      <c r="I175" s="2">
        <f t="shared" si="39"/>
        <v>0.8342848557692307</v>
      </c>
      <c r="J175" s="2">
        <f t="shared" si="50"/>
        <v>1.0137609588280991</v>
      </c>
      <c r="K175" s="2">
        <f t="shared" si="51"/>
        <v>0.8506216006216006</v>
      </c>
      <c r="L175" s="2">
        <f t="shared" si="52"/>
        <v>1.0421118793211817</v>
      </c>
      <c r="M175" s="2">
        <f t="shared" si="53"/>
        <v>0.9555959491041287</v>
      </c>
      <c r="N175" s="2">
        <f t="shared" si="54"/>
        <v>1.0853374709076802</v>
      </c>
      <c r="O175" s="2">
        <f t="shared" si="55"/>
        <v>1.5208012326656395</v>
      </c>
      <c r="P175" s="2">
        <f t="shared" si="42"/>
        <v>1.2040693681318675</v>
      </c>
      <c r="Q175" s="2">
        <f t="shared" si="56"/>
        <v>0.9654866274553332</v>
      </c>
      <c r="R175" s="2">
        <f t="shared" si="57"/>
        <v>1.8259518259518246</v>
      </c>
      <c r="S175" s="2">
        <f t="shared" si="58"/>
        <v>1.7284726587052173</v>
      </c>
      <c r="T175" s="2">
        <f t="shared" si="59"/>
        <v>0.9051452312942815</v>
      </c>
      <c r="U175" s="2">
        <f t="shared" si="60"/>
        <v>-0.8589161032915912</v>
      </c>
      <c r="V175" s="2">
        <f t="shared" si="61"/>
        <v>-4.441509526255293</v>
      </c>
    </row>
    <row r="176" spans="1:22" ht="12.75">
      <c r="A176" s="2">
        <v>69</v>
      </c>
      <c r="B176" s="4">
        <f t="shared" si="45"/>
        <v>31590</v>
      </c>
      <c r="C176" s="4">
        <f t="shared" si="47"/>
        <v>447.79999999999995</v>
      </c>
      <c r="D176" s="4">
        <f t="shared" si="47"/>
        <v>218.3</v>
      </c>
      <c r="E176" s="4">
        <f t="shared" si="47"/>
        <v>1711.5</v>
      </c>
      <c r="F176" s="4">
        <f t="shared" si="47"/>
        <v>209.4</v>
      </c>
      <c r="G176" s="4">
        <f t="shared" si="49"/>
        <v>126.5</v>
      </c>
      <c r="H176" s="4">
        <f t="shared" si="48"/>
        <v>58.3</v>
      </c>
      <c r="I176" s="2">
        <f t="shared" si="39"/>
        <v>0.94921875</v>
      </c>
      <c r="J176" s="2">
        <f t="shared" si="50"/>
        <v>0.9938963489068916</v>
      </c>
      <c r="K176" s="2">
        <f t="shared" si="51"/>
        <v>0.8480963480963483</v>
      </c>
      <c r="L176" s="2">
        <f t="shared" si="52"/>
        <v>1.0757385292269013</v>
      </c>
      <c r="M176" s="2">
        <f t="shared" si="53"/>
        <v>1.0875097377304597</v>
      </c>
      <c r="N176" s="2">
        <f t="shared" si="54"/>
        <v>0.9813809154383243</v>
      </c>
      <c r="O176" s="2">
        <f t="shared" si="55"/>
        <v>0.9981167608286252</v>
      </c>
      <c r="P176" s="2">
        <f t="shared" si="42"/>
        <v>1.6419127747252753</v>
      </c>
      <c r="Q176" s="2">
        <f t="shared" si="56"/>
        <v>-0.28378014173153615</v>
      </c>
      <c r="R176" s="2">
        <f t="shared" si="57"/>
        <v>-0.03607503607503393</v>
      </c>
      <c r="S176" s="2">
        <f t="shared" si="58"/>
        <v>0.4803807129388517</v>
      </c>
      <c r="T176" s="2">
        <f t="shared" si="59"/>
        <v>1.884482694661871</v>
      </c>
      <c r="U176" s="2">
        <f t="shared" si="60"/>
        <v>-1.4850936495622271</v>
      </c>
      <c r="V176" s="2">
        <f t="shared" si="61"/>
        <v>-7.466921026243061</v>
      </c>
    </row>
    <row r="177" spans="1:22" ht="12.75">
      <c r="A177" s="2">
        <v>76</v>
      </c>
      <c r="B177" s="4">
        <f t="shared" si="45"/>
        <v>32350</v>
      </c>
      <c r="C177" s="4">
        <f t="shared" si="47"/>
        <v>464.1</v>
      </c>
      <c r="D177" s="4">
        <f t="shared" si="47"/>
        <v>224.64999999999998</v>
      </c>
      <c r="E177" s="4">
        <f t="shared" si="47"/>
        <v>1774</v>
      </c>
      <c r="F177" s="4">
        <f t="shared" si="47"/>
        <v>200.5</v>
      </c>
      <c r="G177" s="4">
        <f t="shared" si="49"/>
        <v>130.5</v>
      </c>
      <c r="H177" s="4">
        <f t="shared" si="48"/>
        <v>62.30500000000001</v>
      </c>
      <c r="I177" s="2">
        <f t="shared" si="39"/>
        <v>0.9720552884615384</v>
      </c>
      <c r="J177" s="2">
        <f t="shared" si="50"/>
        <v>1.0300743535678616</v>
      </c>
      <c r="K177" s="2">
        <f t="shared" si="51"/>
        <v>0.8727661227661228</v>
      </c>
      <c r="L177" s="2">
        <f t="shared" si="52"/>
        <v>1.115021998742929</v>
      </c>
      <c r="M177" s="2">
        <f t="shared" si="53"/>
        <v>1.0412879771487924</v>
      </c>
      <c r="N177" s="2">
        <f t="shared" si="54"/>
        <v>1.012412723041117</v>
      </c>
      <c r="O177" s="2">
        <f t="shared" si="55"/>
        <v>1.0666837870227703</v>
      </c>
      <c r="P177" s="2">
        <f t="shared" si="42"/>
        <v>0.32623626373626335</v>
      </c>
      <c r="Q177" s="2">
        <f t="shared" si="56"/>
        <v>0.5168286380138569</v>
      </c>
      <c r="R177" s="2">
        <f t="shared" si="57"/>
        <v>0.3524253524253499</v>
      </c>
      <c r="S177" s="2">
        <f t="shared" si="58"/>
        <v>0.5611924216575399</v>
      </c>
      <c r="T177" s="2">
        <f t="shared" si="59"/>
        <v>-0.6603108654523896</v>
      </c>
      <c r="U177" s="2">
        <f t="shared" si="60"/>
        <v>0.443311537182754</v>
      </c>
      <c r="V177" s="2">
        <f t="shared" si="61"/>
        <v>0.9795289456306445</v>
      </c>
    </row>
    <row r="178" spans="1:22" ht="12.75">
      <c r="A178" s="2">
        <v>83</v>
      </c>
      <c r="B178" s="4">
        <f t="shared" si="45"/>
        <v>32505</v>
      </c>
      <c r="C178" s="4">
        <f t="shared" si="47"/>
        <v>445.35</v>
      </c>
      <c r="D178" s="4">
        <f t="shared" si="47"/>
        <v>238.85</v>
      </c>
      <c r="E178" s="4">
        <f t="shared" si="47"/>
        <v>1642</v>
      </c>
      <c r="F178" s="4">
        <f t="shared" si="47"/>
        <v>183.5</v>
      </c>
      <c r="G178" s="4">
        <f t="shared" si="49"/>
        <v>125.64999999999999</v>
      </c>
      <c r="H178" s="4">
        <f t="shared" si="48"/>
        <v>59.55</v>
      </c>
      <c r="I178" s="2">
        <f t="shared" si="39"/>
        <v>0.9767127403846154</v>
      </c>
      <c r="J178" s="2">
        <f t="shared" si="50"/>
        <v>0.9884585506603042</v>
      </c>
      <c r="K178" s="2">
        <f t="shared" si="51"/>
        <v>0.927933177933178</v>
      </c>
      <c r="L178" s="2">
        <f t="shared" si="52"/>
        <v>1.0320553111250785</v>
      </c>
      <c r="M178" s="2">
        <f t="shared" si="53"/>
        <v>0.9529992209815632</v>
      </c>
      <c r="N178" s="2">
        <f t="shared" si="54"/>
        <v>0.9747866563227306</v>
      </c>
      <c r="O178" s="2">
        <f t="shared" si="55"/>
        <v>1.0195172059578839</v>
      </c>
      <c r="P178" s="2">
        <f t="shared" si="42"/>
        <v>0.06653502747252833</v>
      </c>
      <c r="Q178" s="2">
        <f t="shared" si="56"/>
        <v>-0.5945114701079629</v>
      </c>
      <c r="R178" s="2">
        <f t="shared" si="57"/>
        <v>0.788100788100789</v>
      </c>
      <c r="S178" s="2">
        <f t="shared" si="58"/>
        <v>-1.1852383945407219</v>
      </c>
      <c r="T178" s="2">
        <f t="shared" si="59"/>
        <v>-1.2612679452461315</v>
      </c>
      <c r="U178" s="2">
        <f t="shared" si="60"/>
        <v>-0.5375152388340917</v>
      </c>
      <c r="V178" s="2">
        <f t="shared" si="61"/>
        <v>-0.6738083009269495</v>
      </c>
    </row>
    <row r="179" spans="1:22" ht="12.75">
      <c r="A179" s="2">
        <v>90</v>
      </c>
      <c r="B179" s="4">
        <f t="shared" si="45"/>
        <v>33280</v>
      </c>
      <c r="C179" s="4">
        <f t="shared" si="47"/>
        <v>450.54999999999995</v>
      </c>
      <c r="D179" s="4">
        <f t="shared" si="47"/>
        <v>257.4</v>
      </c>
      <c r="E179" s="4">
        <f t="shared" si="47"/>
        <v>1591</v>
      </c>
      <c r="F179" s="4">
        <f t="shared" si="47"/>
        <v>192.55</v>
      </c>
      <c r="G179" s="4">
        <f t="shared" si="49"/>
        <v>128.9</v>
      </c>
      <c r="H179" s="4">
        <f t="shared" si="48"/>
        <v>58.41</v>
      </c>
      <c r="I179" s="2">
        <f t="shared" si="39"/>
        <v>1</v>
      </c>
      <c r="J179" s="2">
        <f aca="true" t="shared" si="62" ref="J179:O179">IF(C179="","",C179/C$179)</f>
        <v>1</v>
      </c>
      <c r="K179" s="2">
        <f t="shared" si="62"/>
        <v>1</v>
      </c>
      <c r="L179" s="2">
        <f t="shared" si="62"/>
        <v>1</v>
      </c>
      <c r="M179" s="2">
        <f t="shared" si="62"/>
        <v>1</v>
      </c>
      <c r="N179" s="2">
        <f t="shared" si="62"/>
        <v>1</v>
      </c>
      <c r="O179" s="2">
        <f t="shared" si="62"/>
        <v>1</v>
      </c>
      <c r="P179" s="2">
        <f t="shared" si="42"/>
        <v>0.3326751373626369</v>
      </c>
      <c r="Q179" s="2">
        <f t="shared" si="56"/>
        <v>0.16487784770994013</v>
      </c>
      <c r="R179" s="2">
        <f t="shared" si="57"/>
        <v>1.029526029526029</v>
      </c>
      <c r="S179" s="2">
        <f t="shared" si="58"/>
        <v>-0.4579330160725505</v>
      </c>
      <c r="T179" s="2">
        <f t="shared" si="59"/>
        <v>0.6714397002633828</v>
      </c>
      <c r="U179" s="2">
        <f t="shared" si="60"/>
        <v>0.3601906239609907</v>
      </c>
      <c r="V179" s="2">
        <f t="shared" si="61"/>
        <v>-0.2788172279697695</v>
      </c>
    </row>
    <row r="190" spans="9:17" ht="12.75"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9:17" ht="12.75"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9:17" ht="12.75">
      <c r="I192" s="10"/>
      <c r="J192" s="10"/>
      <c r="K192" s="10"/>
      <c r="L192" s="10"/>
      <c r="M192" s="10"/>
      <c r="N192" s="10"/>
      <c r="O192" s="10"/>
      <c r="P192" s="10"/>
      <c r="Q192" s="10"/>
    </row>
    <row r="197" spans="2:17" ht="12.75">
      <c r="B197" s="11"/>
      <c r="C197" s="9"/>
      <c r="D197" s="9"/>
      <c r="E197" s="11"/>
      <c r="F197" s="9"/>
      <c r="G197" s="9"/>
      <c r="H197" s="14"/>
      <c r="I197" s="16"/>
      <c r="J197" s="20"/>
      <c r="K197" s="20"/>
      <c r="L197" s="16"/>
      <c r="M197" s="14"/>
      <c r="N197" s="16"/>
      <c r="O197" s="20"/>
      <c r="P197" s="20"/>
      <c r="Q197" s="16"/>
    </row>
    <row r="198" spans="2:17" ht="12.75">
      <c r="B198" s="11"/>
      <c r="C198" s="12"/>
      <c r="D198" s="11"/>
      <c r="E198" s="11"/>
      <c r="F198" s="12"/>
      <c r="G198" s="11"/>
      <c r="H198" s="14"/>
      <c r="J198" s="16"/>
      <c r="K198" s="16"/>
      <c r="L198" s="16"/>
      <c r="M198" s="14"/>
      <c r="O198" s="16"/>
      <c r="P198" s="16"/>
      <c r="Q198" s="16"/>
    </row>
    <row r="199" spans="2:17" ht="12.75">
      <c r="B199" s="13"/>
      <c r="C199" s="13"/>
      <c r="D199" s="13"/>
      <c r="E199" s="13"/>
      <c r="F199" s="13"/>
      <c r="G199" s="13"/>
      <c r="H199" s="14"/>
      <c r="I199" s="16"/>
      <c r="J199" s="16"/>
      <c r="K199" s="16"/>
      <c r="L199" s="16"/>
      <c r="N199" s="17"/>
      <c r="O199" s="16"/>
      <c r="P199" s="16"/>
      <c r="Q199" s="16"/>
    </row>
    <row r="200" spans="2:17" ht="12.75">
      <c r="B200" s="13"/>
      <c r="C200" s="13"/>
      <c r="D200" s="13"/>
      <c r="E200" s="13"/>
      <c r="F200" s="13"/>
      <c r="G200" s="13"/>
      <c r="H200" s="15"/>
      <c r="I200" s="18"/>
      <c r="J200" s="16"/>
      <c r="K200" s="18"/>
      <c r="L200" s="16"/>
      <c r="M200" s="15"/>
      <c r="N200" s="16"/>
      <c r="O200" s="16"/>
      <c r="P200" s="16"/>
      <c r="Q200" s="16"/>
    </row>
    <row r="201" spans="2:17" ht="12.75">
      <c r="B201" s="13"/>
      <c r="C201" s="13"/>
      <c r="D201" s="13"/>
      <c r="E201" s="13"/>
      <c r="F201" s="13"/>
      <c r="G201" s="13"/>
      <c r="H201" s="15"/>
      <c r="I201" s="19"/>
      <c r="J201" s="19"/>
      <c r="K201" s="19"/>
      <c r="L201" s="16"/>
      <c r="M201" s="15"/>
      <c r="N201" s="19"/>
      <c r="O201" s="19"/>
      <c r="P201" s="19"/>
      <c r="Q201" s="16"/>
    </row>
    <row r="205" spans="9:17" ht="12.75"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9:17" ht="12.75"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9:17" ht="12.75"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9:17" ht="12.75"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9:17" ht="12.75"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9:17" ht="12.75"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2.75">
      <c r="A211" s="21"/>
      <c r="B211" s="21"/>
      <c r="C211" s="57"/>
      <c r="D211" s="57"/>
      <c r="E211" s="57"/>
      <c r="F211" s="57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2.75">
      <c r="A212" s="21"/>
      <c r="B212" s="28"/>
      <c r="C212" s="28"/>
      <c r="D212" s="28"/>
      <c r="E212" s="28"/>
      <c r="F212" s="28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2.75">
      <c r="A213" s="21"/>
      <c r="B213" s="22"/>
      <c r="C213" s="23"/>
      <c r="D213" s="23"/>
      <c r="E213" s="23"/>
      <c r="F213" s="23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2.75">
      <c r="A214" s="21"/>
      <c r="B214" s="22"/>
      <c r="C214" s="23"/>
      <c r="D214" s="23"/>
      <c r="E214" s="23"/>
      <c r="F214" s="23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2.75">
      <c r="A215" s="21"/>
      <c r="B215" s="24"/>
      <c r="C215" s="25"/>
      <c r="D215" s="23"/>
      <c r="E215" s="25"/>
      <c r="F215" s="23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2.75">
      <c r="A216" s="21"/>
      <c r="B216" s="24"/>
      <c r="C216" s="26"/>
      <c r="D216" s="26"/>
      <c r="E216" s="26"/>
      <c r="F216" s="23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2.75">
      <c r="A217" s="21"/>
      <c r="B217" s="21"/>
      <c r="C217" s="21"/>
      <c r="D217" s="21"/>
      <c r="E217" s="21"/>
      <c r="F217" s="21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2.75">
      <c r="A218" s="21"/>
      <c r="B218" s="21"/>
      <c r="C218" s="57"/>
      <c r="D218" s="57"/>
      <c r="E218" s="57"/>
      <c r="F218" s="57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>
      <c r="A219" s="21"/>
      <c r="B219" s="28"/>
      <c r="C219" s="28"/>
      <c r="D219" s="28"/>
      <c r="E219" s="28"/>
      <c r="F219" s="28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2.75">
      <c r="A220" s="21"/>
      <c r="B220" s="22"/>
      <c r="C220" s="23"/>
      <c r="D220" s="23"/>
      <c r="E220" s="23"/>
      <c r="F220" s="23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2.75">
      <c r="A221" s="21"/>
      <c r="B221" s="22"/>
      <c r="C221" s="27"/>
      <c r="D221" s="23"/>
      <c r="E221" s="23"/>
      <c r="F221" s="23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2.75">
      <c r="A222" s="21"/>
      <c r="B222" s="24"/>
      <c r="C222" s="23"/>
      <c r="D222" s="23"/>
      <c r="E222" s="23"/>
      <c r="F222" s="23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2.75">
      <c r="A223" s="21"/>
      <c r="B223" s="24"/>
      <c r="C223" s="26"/>
      <c r="D223" s="26"/>
      <c r="E223" s="26"/>
      <c r="F223" s="26"/>
      <c r="I223" s="10"/>
      <c r="J223" s="10"/>
      <c r="K223" s="10"/>
      <c r="L223" s="10"/>
      <c r="M223" s="10"/>
      <c r="N223" s="10"/>
      <c r="O223" s="10"/>
      <c r="P223" s="10"/>
      <c r="Q223" s="10"/>
    </row>
  </sheetData>
  <mergeCells count="6">
    <mergeCell ref="C211:F211"/>
    <mergeCell ref="C218:F218"/>
    <mergeCell ref="C19:F19"/>
    <mergeCell ref="C26:F26"/>
    <mergeCell ref="C59:F59"/>
    <mergeCell ref="C66:F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Trial User</cp:lastModifiedBy>
  <cp:category/>
  <cp:version/>
  <cp:contentType/>
  <cp:contentStatus/>
</cp:coreProperties>
</file>