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Forecast" sheetId="1" r:id="rId1"/>
    <sheet name="Financial Analysis" sheetId="2" r:id="rId2"/>
    <sheet name="Volume Analysis" sheetId="3" r:id="rId3"/>
    <sheet name="Options Analysis" sheetId="4" r:id="rId4"/>
  </sheets>
  <definedNames/>
  <calcPr fullCalcOnLoad="1"/>
</workbook>
</file>

<file path=xl/comments1.xml><?xml version="1.0" encoding="utf-8"?>
<comments xmlns="http://schemas.openxmlformats.org/spreadsheetml/2006/main">
  <authors>
    <author>Joe Sarkis</author>
  </authors>
  <commentList>
    <comment ref="C8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From Case pg. 2
</t>
        </r>
      </text>
    </comment>
    <comment ref="C10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From Case Page 2, women start at 15%,
Going to 32.5% in 1981 (pg. 8).</t>
        </r>
      </text>
    </comment>
    <comment ref="C9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Increase of 35% per year for serious runners, pg. 8
</t>
        </r>
      </text>
    </comment>
    <comment ref="D5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Assumed 7% share for NB. Pg. 8 case
</t>
        </r>
      </text>
    </comment>
    <comment ref="C5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Table B, pg. 5
</t>
        </r>
      </text>
    </comment>
    <comment ref="A4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Exhibit 5</t>
        </r>
      </text>
    </comment>
    <comment ref="C12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2.5 pairs per serious runner. Top pg. 8.
</t>
        </r>
      </text>
    </comment>
    <comment ref="C13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70% of market is serious runners. Table B, pg. 5</t>
        </r>
      </text>
    </comment>
  </commentList>
</comments>
</file>

<file path=xl/comments2.xml><?xml version="1.0" encoding="utf-8"?>
<comments xmlns="http://schemas.openxmlformats.org/spreadsheetml/2006/main">
  <authors>
    <author>Joe Sarkis</author>
  </authors>
  <commentList>
    <comment ref="E6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Multiple % Costs by % of COGS of Sales (Remove inventory costs).
</t>
        </r>
      </text>
    </comment>
    <comment ref="D10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255,000 (from Exh. 5, Table B) + 36140 (Table B).
</t>
        </r>
      </text>
    </comment>
    <comment ref="D24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Pg. 10, under Texas option. Avg. Mass is 5.5%, Fed is 30%
</t>
        </r>
      </text>
    </comment>
  </commentList>
</comments>
</file>

<file path=xl/comments4.xml><?xml version="1.0" encoding="utf-8"?>
<comments xmlns="http://schemas.openxmlformats.org/spreadsheetml/2006/main">
  <authors>
    <author>Joe Sarkis</author>
  </authors>
  <commentList>
    <comment ref="C3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From Exh. 5, pg. 15
</t>
        </r>
      </text>
    </comment>
    <comment ref="C5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Increase by 11%, pg. 9
</t>
        </r>
      </text>
    </comment>
    <comment ref="C6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Decrease by 6.5%, pg. 8
</t>
        </r>
      </text>
    </comment>
    <comment ref="D5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10% less than in Boston
</t>
        </r>
      </text>
    </comment>
    <comment ref="E6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OH higher by 2-3%
Pg. 10 case
</t>
        </r>
      </text>
    </comment>
    <comment ref="E4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Materials higher by 2-3%, pg. 10
</t>
        </r>
      </text>
    </comment>
    <comment ref="F4" authorId="0">
      <text>
        <r>
          <rPr>
            <b/>
            <sz val="8"/>
            <rFont val="Tahoma"/>
            <family val="0"/>
          </rPr>
          <t>Joe Sarkis:</t>
        </r>
        <r>
          <rPr>
            <sz val="8"/>
            <rFont val="Tahoma"/>
            <family val="0"/>
          </rPr>
          <t xml:space="preserve">
3-4% Increase, pg. 10
</t>
        </r>
      </text>
    </comment>
  </commentList>
</comments>
</file>

<file path=xl/sharedStrings.xml><?xml version="1.0" encoding="utf-8"?>
<sst xmlns="http://schemas.openxmlformats.org/spreadsheetml/2006/main" count="79" uniqueCount="52">
  <si>
    <t>FORECAST</t>
  </si>
  <si>
    <t>NB Forecast</t>
  </si>
  <si>
    <t>Total Market</t>
  </si>
  <si>
    <t>Women Runners</t>
  </si>
  <si>
    <t>Men Runners</t>
  </si>
  <si>
    <t>NB Mark. Forec</t>
  </si>
  <si>
    <t>Serious Runners</t>
  </si>
  <si>
    <t>Woman %</t>
  </si>
  <si>
    <t>Serious pairs</t>
  </si>
  <si>
    <t xml:space="preserve"> </t>
  </si>
  <si>
    <t>Cost and Profit Structure for Exhibit 2.</t>
  </si>
  <si>
    <t>Shares of Direct Cost</t>
  </si>
  <si>
    <t>Total Direct Cost</t>
  </si>
  <si>
    <t>Materials</t>
  </si>
  <si>
    <t>Labor</t>
  </si>
  <si>
    <t>Manufacturing OH</t>
  </si>
  <si>
    <t>% of Costs</t>
  </si>
  <si>
    <t>% of Sales</t>
  </si>
  <si>
    <t>Total Sales</t>
  </si>
  <si>
    <t>Total Unit Sales for 1977</t>
  </si>
  <si>
    <t>Avg. Revenue/Unit</t>
  </si>
  <si>
    <t>Costs</t>
  </si>
  <si>
    <t>OH</t>
  </si>
  <si>
    <t>SA</t>
  </si>
  <si>
    <t>Total Cost</t>
  </si>
  <si>
    <t>Tax Rate</t>
  </si>
  <si>
    <t>Profit Before Tax</t>
  </si>
  <si>
    <t>Profit After Tax</t>
  </si>
  <si>
    <t>Per Pair Analysis</t>
  </si>
  <si>
    <t>1978 Analysis</t>
  </si>
  <si>
    <t>Average Revenue</t>
  </si>
  <si>
    <t>2nd Shift</t>
  </si>
  <si>
    <t>Lawrence</t>
  </si>
  <si>
    <t>Texas</t>
  </si>
  <si>
    <t>Ireland</t>
  </si>
  <si>
    <t>COGS</t>
  </si>
  <si>
    <t>PBT</t>
  </si>
  <si>
    <t>PAT</t>
  </si>
  <si>
    <t>Comparison over 4 year Horizon</t>
  </si>
  <si>
    <t xml:space="preserve">Lawrence </t>
  </si>
  <si>
    <t>Pairs/Day</t>
  </si>
  <si>
    <t>Initial</t>
  </si>
  <si>
    <t>% Profit</t>
  </si>
  <si>
    <t>Year</t>
  </si>
  <si>
    <t>Price</t>
  </si>
  <si>
    <t>Discount Rate  =</t>
  </si>
  <si>
    <t>NPV</t>
  </si>
  <si>
    <t>Based On Forecast</t>
  </si>
  <si>
    <t>Current Capacity</t>
  </si>
  <si>
    <t>Need</t>
  </si>
  <si>
    <t>Days in Year Necessary to Reach Demand</t>
  </si>
  <si>
    <t>Profits for Each given Forecast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</si>
</sst>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0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"/>
    <numFmt numFmtId="175" formatCode="0.00000000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16" sqref="D16"/>
    </sheetView>
  </sheetViews>
  <sheetFormatPr defaultColWidth="9.140625" defaultRowHeight="12.75"/>
  <sheetData>
    <row r="1" ht="12.75">
      <c r="A1" t="s">
        <v>0</v>
      </c>
    </row>
    <row r="2" spans="3:7" ht="12.75">
      <c r="C2">
        <v>1977</v>
      </c>
      <c r="D2">
        <v>1978</v>
      </c>
      <c r="E2">
        <v>1979</v>
      </c>
      <c r="F2">
        <v>1980</v>
      </c>
      <c r="G2">
        <v>1981</v>
      </c>
    </row>
    <row r="4" spans="1:7" ht="12.75">
      <c r="A4" t="s">
        <v>1</v>
      </c>
      <c r="C4">
        <v>255</v>
      </c>
      <c r="D4">
        <v>730</v>
      </c>
      <c r="E4">
        <v>970</v>
      </c>
      <c r="F4">
        <v>1200</v>
      </c>
      <c r="G4">
        <v>1402</v>
      </c>
    </row>
    <row r="5" spans="1:7" ht="12.75">
      <c r="A5" t="s">
        <v>5</v>
      </c>
      <c r="C5" s="1">
        <v>6471</v>
      </c>
      <c r="D5" s="1">
        <f>+D4/0.07</f>
        <v>10428.571428571428</v>
      </c>
      <c r="E5" s="1">
        <f>+E4/0.07</f>
        <v>13857.142857142855</v>
      </c>
      <c r="F5" s="1">
        <f>+F4/0.07</f>
        <v>17142.85714285714</v>
      </c>
      <c r="G5" s="1">
        <f>+G4/0.07</f>
        <v>20028.571428571428</v>
      </c>
    </row>
    <row r="7" spans="1:8" ht="12.75">
      <c r="A7" s="3" t="s">
        <v>6</v>
      </c>
      <c r="C7">
        <v>0.15</v>
      </c>
      <c r="D7">
        <v>0.175</v>
      </c>
      <c r="E7">
        <v>0.225</v>
      </c>
      <c r="F7">
        <v>0.275</v>
      </c>
      <c r="G7">
        <v>0.325</v>
      </c>
      <c r="H7" t="s">
        <v>7</v>
      </c>
    </row>
    <row r="8" spans="1:7" ht="12.75">
      <c r="A8" t="s">
        <v>2</v>
      </c>
      <c r="C8">
        <v>2000</v>
      </c>
      <c r="D8" s="1">
        <f>+D9/(1-D7)</f>
        <v>2781.818181818182</v>
      </c>
      <c r="E8" s="1">
        <f>+E9/(1-E7)</f>
        <v>3997.7419354838707</v>
      </c>
      <c r="F8" s="1">
        <f>+F9/(1-F7)</f>
        <v>5769.155172413794</v>
      </c>
      <c r="G8" s="1">
        <f>+G9/(1-G7)</f>
        <v>8365.275000000001</v>
      </c>
    </row>
    <row r="9" spans="1:7" ht="12.75">
      <c r="A9" t="s">
        <v>4</v>
      </c>
      <c r="C9" s="1">
        <f>+C8*0.85</f>
        <v>1700</v>
      </c>
      <c r="D9" s="1">
        <f>+C9*1.35</f>
        <v>2295</v>
      </c>
      <c r="E9" s="1">
        <f>+D9*1.35</f>
        <v>3098.25</v>
      </c>
      <c r="F9" s="1">
        <f>+E9*1.35</f>
        <v>4182.637500000001</v>
      </c>
      <c r="G9" s="1">
        <f>+F9*1.35</f>
        <v>5646.560625000001</v>
      </c>
    </row>
    <row r="10" spans="1:7" ht="12.75">
      <c r="A10" t="s">
        <v>3</v>
      </c>
      <c r="C10" s="1">
        <f>+C8*C7</f>
        <v>300</v>
      </c>
      <c r="D10" s="1">
        <f>+D8*D7</f>
        <v>486.8181818181818</v>
      </c>
      <c r="E10" s="1">
        <f>+E8*E7</f>
        <v>899.491935483871</v>
      </c>
      <c r="F10" s="1">
        <f>+F8*F7</f>
        <v>1586.5176724137937</v>
      </c>
      <c r="G10" s="1">
        <f>+G8*G7</f>
        <v>2718.7143750000005</v>
      </c>
    </row>
    <row r="12" spans="1:7" ht="12.75">
      <c r="A12" t="s">
        <v>8</v>
      </c>
      <c r="C12" s="1"/>
      <c r="D12" s="1">
        <f>+D8*2.5</f>
        <v>6954.545454545455</v>
      </c>
      <c r="E12" s="1">
        <f>+E8*2.5</f>
        <v>9994.354838709676</v>
      </c>
      <c r="F12" s="1">
        <f>+F8*2.5</f>
        <v>14422.887931034486</v>
      </c>
      <c r="G12" s="1">
        <f>+G8*2.5</f>
        <v>20913.187500000004</v>
      </c>
    </row>
    <row r="13" spans="1:7" ht="12.75">
      <c r="A13" t="s">
        <v>2</v>
      </c>
      <c r="C13" s="1">
        <f>+C12/0.7</f>
        <v>0</v>
      </c>
      <c r="D13" s="1">
        <f>+D12/0.7</f>
        <v>9935.064935064936</v>
      </c>
      <c r="E13" s="1">
        <f>+E12/0.7</f>
        <v>14277.649769585252</v>
      </c>
      <c r="F13" s="1">
        <f>+F12/0.7</f>
        <v>20604.12561576355</v>
      </c>
      <c r="G13" s="1">
        <f>+G12/0.7</f>
        <v>29875.98214285715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3">
      <selection activeCell="B20" sqref="B20"/>
    </sheetView>
  </sheetViews>
  <sheetFormatPr defaultColWidth="9.140625" defaultRowHeight="12.75"/>
  <cols>
    <col min="4" max="4" width="10.28125" style="0" customWidth="1"/>
    <col min="7" max="7" width="13.00390625" style="0" bestFit="1" customWidth="1"/>
  </cols>
  <sheetData>
    <row r="1" ht="12.75">
      <c r="B1" s="3" t="s">
        <v>10</v>
      </c>
    </row>
    <row r="3" ht="12.75">
      <c r="A3" t="s">
        <v>11</v>
      </c>
    </row>
    <row r="4" spans="1:3" ht="12.75">
      <c r="A4" t="s">
        <v>18</v>
      </c>
      <c r="C4">
        <v>4658308</v>
      </c>
    </row>
    <row r="5" spans="1:5" ht="12.75">
      <c r="A5" t="s">
        <v>12</v>
      </c>
      <c r="C5">
        <v>2.85</v>
      </c>
      <c r="D5" t="s">
        <v>16</v>
      </c>
      <c r="E5" t="s">
        <v>17</v>
      </c>
    </row>
    <row r="6" spans="1:5" ht="12.75">
      <c r="A6" t="s">
        <v>13</v>
      </c>
      <c r="C6">
        <v>1.35</v>
      </c>
      <c r="D6" s="2">
        <f>+C6/C$5</f>
        <v>0.4736842105263158</v>
      </c>
      <c r="E6" s="4">
        <f>+D6*0.5405</f>
        <v>0.2560263157894737</v>
      </c>
    </row>
    <row r="7" spans="1:5" ht="12.75">
      <c r="A7" t="s">
        <v>14</v>
      </c>
      <c r="C7">
        <v>0.81</v>
      </c>
      <c r="D7" s="2">
        <f>+C7/C$5</f>
        <v>0.28421052631578947</v>
      </c>
      <c r="E7" s="4">
        <f>+D7*0.541</f>
        <v>0.15375789473684212</v>
      </c>
    </row>
    <row r="8" spans="1:5" ht="12.75">
      <c r="A8" t="s">
        <v>15</v>
      </c>
      <c r="C8">
        <v>0.7</v>
      </c>
      <c r="D8" s="2">
        <f>+C8/C$5</f>
        <v>0.24561403508771928</v>
      </c>
      <c r="E8" s="4">
        <f>+D8*0.541</f>
        <v>0.13287719298245615</v>
      </c>
    </row>
    <row r="10" spans="1:4" ht="12.75">
      <c r="A10" t="s">
        <v>19</v>
      </c>
      <c r="D10">
        <v>291140</v>
      </c>
    </row>
    <row r="12" ht="12.75">
      <c r="A12" s="3" t="s">
        <v>28</v>
      </c>
    </row>
    <row r="14" spans="1:4" ht="12.75">
      <c r="A14" t="s">
        <v>20</v>
      </c>
      <c r="D14" s="1">
        <f>+C4/D10</f>
        <v>16.00023356460809</v>
      </c>
    </row>
    <row r="16" ht="12.75">
      <c r="A16" t="s">
        <v>21</v>
      </c>
    </row>
    <row r="17" spans="1:5" ht="12.75">
      <c r="A17" t="s">
        <v>13</v>
      </c>
      <c r="D17" s="2">
        <f>+D$14*E6</f>
        <v>4.096480851317688</v>
      </c>
      <c r="E17" s="2"/>
    </row>
    <row r="18" spans="1:5" ht="12.75">
      <c r="A18" t="s">
        <v>14</v>
      </c>
      <c r="D18" s="2">
        <f>+D$14*E7</f>
        <v>2.460162228191899</v>
      </c>
      <c r="E18" s="2"/>
    </row>
    <row r="19" spans="1:5" ht="12.75">
      <c r="A19" t="s">
        <v>22</v>
      </c>
      <c r="D19" s="2">
        <f>+D$14*E8</f>
        <v>2.1260661231288016</v>
      </c>
      <c r="E19" s="2"/>
    </row>
    <row r="20" spans="1:4" ht="12.75">
      <c r="A20" t="s">
        <v>23</v>
      </c>
      <c r="B20" s="4">
        <f>(715913+668773)/C4</f>
        <v>0.29725084730335566</v>
      </c>
      <c r="D20" s="2">
        <f>D14*(715913+668773)/C4</f>
        <v>4.7560829841313454</v>
      </c>
    </row>
    <row r="22" spans="1:4" ht="12.75">
      <c r="A22" t="s">
        <v>24</v>
      </c>
      <c r="D22" s="2">
        <f>SUM(D17:D21)</f>
        <v>13.438792186769735</v>
      </c>
    </row>
    <row r="23" spans="1:5" ht="12.75">
      <c r="A23" t="s">
        <v>26</v>
      </c>
      <c r="D23" s="2">
        <f>+D14-D22</f>
        <v>2.5614413778383565</v>
      </c>
      <c r="E23" s="5" t="s">
        <v>9</v>
      </c>
    </row>
    <row r="24" spans="1:4" ht="12.75">
      <c r="A24" t="s">
        <v>25</v>
      </c>
      <c r="D24">
        <v>0.355</v>
      </c>
    </row>
    <row r="25" spans="1:4" ht="12.75">
      <c r="A25" t="s">
        <v>27</v>
      </c>
      <c r="D25" s="2">
        <f>+D23*(1-D24)</f>
        <v>1.65212968870574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2">
      <selection activeCell="C7" sqref="C7"/>
    </sheetView>
  </sheetViews>
  <sheetFormatPr defaultColWidth="9.140625" defaultRowHeight="12.75"/>
  <cols>
    <col min="3" max="3" width="9.57421875" style="0" bestFit="1" customWidth="1"/>
    <col min="10" max="10" width="13.28125" style="0" bestFit="1" customWidth="1"/>
  </cols>
  <sheetData>
    <row r="1" ht="12.75">
      <c r="A1" t="s">
        <v>38</v>
      </c>
    </row>
    <row r="2" spans="2:4" ht="12.75">
      <c r="B2" t="s">
        <v>45</v>
      </c>
      <c r="D2">
        <v>0.2</v>
      </c>
    </row>
    <row r="3" spans="5:9" ht="12.75">
      <c r="E3">
        <v>18</v>
      </c>
      <c r="F3">
        <v>19.5</v>
      </c>
      <c r="G3">
        <v>21.5</v>
      </c>
      <c r="H3">
        <v>23</v>
      </c>
      <c r="I3" t="s">
        <v>44</v>
      </c>
    </row>
    <row r="4" spans="2:10" ht="12.75">
      <c r="B4" t="s">
        <v>40</v>
      </c>
      <c r="C4" t="s">
        <v>42</v>
      </c>
      <c r="D4" t="s">
        <v>41</v>
      </c>
      <c r="E4">
        <v>1978</v>
      </c>
      <c r="F4">
        <v>1979</v>
      </c>
      <c r="G4">
        <v>1980</v>
      </c>
      <c r="H4">
        <v>1981</v>
      </c>
      <c r="I4" t="s">
        <v>43</v>
      </c>
      <c r="J4" t="s">
        <v>46</v>
      </c>
    </row>
    <row r="5" spans="1:10" ht="12.75">
      <c r="A5" t="s">
        <v>39</v>
      </c>
      <c r="B5">
        <v>3000</v>
      </c>
      <c r="C5" s="2">
        <v>0.1122724020539289</v>
      </c>
      <c r="D5">
        <v>100000</v>
      </c>
      <c r="E5">
        <f>3000*250*E$3*$C5</f>
        <v>1515677.4277280401</v>
      </c>
      <c r="F5">
        <f>3000*250*F$3*$C5</f>
        <v>1641983.88003871</v>
      </c>
      <c r="G5">
        <f>3000*250*G$3*$C5</f>
        <v>1810392.4831196035</v>
      </c>
      <c r="H5">
        <f>3000*250*H$3*$C5</f>
        <v>1936698.9354302734</v>
      </c>
      <c r="J5" s="6">
        <f>NPV($D$2,E5:H5)-D5</f>
        <v>4284990.980682675</v>
      </c>
    </row>
    <row r="6" spans="1:10" ht="12.75">
      <c r="A6" t="s">
        <v>33</v>
      </c>
      <c r="B6">
        <v>3000</v>
      </c>
      <c r="C6" s="2">
        <v>0.1267817182911598</v>
      </c>
      <c r="D6">
        <v>100000</v>
      </c>
      <c r="E6">
        <f aca="true" t="shared" si="0" ref="E6:H8">3000*250*E$3*$C6</f>
        <v>1711553.1969306574</v>
      </c>
      <c r="F6">
        <f t="shared" si="0"/>
        <v>1854182.630008212</v>
      </c>
      <c r="G6">
        <f t="shared" si="0"/>
        <v>2044355.2074449519</v>
      </c>
      <c r="H6">
        <f t="shared" si="0"/>
        <v>2186984.6405225066</v>
      </c>
      <c r="J6" s="6">
        <f>NPV($D$2,E6:H6)-D6</f>
        <v>4851677.18024906</v>
      </c>
    </row>
    <row r="7" spans="1:10" ht="12.75">
      <c r="A7" t="s">
        <v>34</v>
      </c>
      <c r="B7">
        <v>2750</v>
      </c>
      <c r="C7" s="2">
        <v>0.1793680741073138</v>
      </c>
      <c r="D7">
        <f>(420000+90000)*0.6</f>
        <v>306000</v>
      </c>
      <c r="E7">
        <f t="shared" si="0"/>
        <v>2421469.0004487364</v>
      </c>
      <c r="F7">
        <f t="shared" si="0"/>
        <v>2623258.0838194643</v>
      </c>
      <c r="G7">
        <f t="shared" si="0"/>
        <v>2892310.194980435</v>
      </c>
      <c r="H7">
        <f t="shared" si="0"/>
        <v>3094099.2783511635</v>
      </c>
      <c r="J7" s="6">
        <f>NPV($D$2,E7:H7)-D7</f>
        <v>6699527.385128825</v>
      </c>
    </row>
    <row r="8" spans="1:10" ht="12.75">
      <c r="A8" t="s">
        <v>31</v>
      </c>
      <c r="B8">
        <v>1650</v>
      </c>
      <c r="C8" s="2">
        <v>0.0979183519103882</v>
      </c>
      <c r="D8">
        <v>0</v>
      </c>
      <c r="E8">
        <f>3000*250*E$3*$C8</f>
        <v>1321897.7507902407</v>
      </c>
      <c r="F8">
        <f t="shared" si="0"/>
        <v>1432055.8966894273</v>
      </c>
      <c r="G8">
        <f t="shared" si="0"/>
        <v>1578933.4245550097</v>
      </c>
      <c r="H8">
        <f t="shared" si="0"/>
        <v>1689091.5704541963</v>
      </c>
      <c r="J8" s="6">
        <f>NPV($D$2,E8:H8)-D8</f>
        <v>3824368.964370428</v>
      </c>
    </row>
    <row r="10" spans="1:10" ht="12.75">
      <c r="A10" s="3" t="s">
        <v>47</v>
      </c>
      <c r="E10">
        <v>730000</v>
      </c>
      <c r="F10">
        <v>970000</v>
      </c>
      <c r="G10">
        <v>1200000</v>
      </c>
      <c r="H10">
        <v>1402000</v>
      </c>
      <c r="J10" t="s">
        <v>9</v>
      </c>
    </row>
    <row r="11" spans="1:10" ht="12.75">
      <c r="A11" t="s">
        <v>48</v>
      </c>
      <c r="C11">
        <f>1650*250</f>
        <v>412500</v>
      </c>
      <c r="D11" t="s">
        <v>49</v>
      </c>
      <c r="E11">
        <f>+E10-$C$11</f>
        <v>317500</v>
      </c>
      <c r="F11">
        <f>+F10-$C$11</f>
        <v>557500</v>
      </c>
      <c r="G11">
        <f>+G10-$C$11</f>
        <v>787500</v>
      </c>
      <c r="H11">
        <f>+H10-$C$11</f>
        <v>989500</v>
      </c>
      <c r="J11" t="s">
        <v>9</v>
      </c>
    </row>
    <row r="12" spans="2:10" ht="12.75">
      <c r="B12" s="3" t="s">
        <v>50</v>
      </c>
      <c r="J12" s="6" t="s">
        <v>9</v>
      </c>
    </row>
    <row r="13" spans="1:10" ht="12.75">
      <c r="A13" t="s">
        <v>39</v>
      </c>
      <c r="E13" s="1">
        <f>+E$11/$B5</f>
        <v>105.83333333333333</v>
      </c>
      <c r="F13" s="1">
        <f>+F$11/$B5</f>
        <v>185.83333333333334</v>
      </c>
      <c r="G13" s="1">
        <f>+G$11/$B5</f>
        <v>262.5</v>
      </c>
      <c r="H13" s="1">
        <f>+H$11/$B5</f>
        <v>329.8333333333333</v>
      </c>
      <c r="J13" t="s">
        <v>9</v>
      </c>
    </row>
    <row r="14" spans="1:8" ht="12.75">
      <c r="A14" t="s">
        <v>33</v>
      </c>
      <c r="E14" s="1">
        <f>+E$11/$B6</f>
        <v>105.83333333333333</v>
      </c>
      <c r="F14" s="1">
        <f>+F$11/$B6</f>
        <v>185.83333333333334</v>
      </c>
      <c r="G14" s="1">
        <f>+G$11/$B6</f>
        <v>262.5</v>
      </c>
      <c r="H14" s="1">
        <f>+H$11/$B6</f>
        <v>329.8333333333333</v>
      </c>
    </row>
    <row r="15" spans="1:8" ht="12.75">
      <c r="A15" t="s">
        <v>34</v>
      </c>
      <c r="E15" s="1">
        <f aca="true" t="shared" si="1" ref="E15:H16">+E$11/$B7</f>
        <v>115.45454545454545</v>
      </c>
      <c r="F15" s="1">
        <f t="shared" si="1"/>
        <v>202.72727272727272</v>
      </c>
      <c r="G15" s="1">
        <f t="shared" si="1"/>
        <v>286.3636363636364</v>
      </c>
      <c r="H15" s="1">
        <f t="shared" si="1"/>
        <v>359.8181818181818</v>
      </c>
    </row>
    <row r="16" spans="1:8" ht="12.75">
      <c r="A16" t="s">
        <v>31</v>
      </c>
      <c r="E16" s="1">
        <f>+E$11/$B8</f>
        <v>192.42424242424244</v>
      </c>
      <c r="F16" s="1">
        <f>+F$11/$B8</f>
        <v>337.8787878787879</v>
      </c>
      <c r="G16" s="1">
        <f>+G$11/$B8</f>
        <v>477.27272727272725</v>
      </c>
      <c r="H16" s="1">
        <f>+H$11/$B8</f>
        <v>599.6969696969697</v>
      </c>
    </row>
    <row r="18" ht="12.75">
      <c r="A18" t="s">
        <v>51</v>
      </c>
    </row>
    <row r="20" spans="1:10" ht="12.75">
      <c r="A20" t="s">
        <v>32</v>
      </c>
      <c r="D20">
        <v>100000</v>
      </c>
      <c r="E20">
        <f>+E$3*$C5*E$11</f>
        <v>641636.7777382036</v>
      </c>
      <c r="F20">
        <f>+F$3*$C5*F$11</f>
        <v>1220541.3508287745</v>
      </c>
      <c r="G20">
        <f>+G$3*$C5*G$11</f>
        <v>1900912.1072755835</v>
      </c>
      <c r="H20">
        <f>+H$3*$C5*H$11</f>
        <v>2555151.462144341</v>
      </c>
      <c r="J20" s="6">
        <f>NPV($D$2,E20:H20)-D20</f>
        <v>3614590.030864242</v>
      </c>
    </row>
    <row r="21" spans="1:10" ht="12.75">
      <c r="A21" t="s">
        <v>33</v>
      </c>
      <c r="D21">
        <v>100000</v>
      </c>
      <c r="E21">
        <f aca="true" t="shared" si="2" ref="E21:H23">+E$3*$C6*E$11</f>
        <v>724557.5200339783</v>
      </c>
      <c r="F21">
        <f t="shared" si="2"/>
        <v>1378275.754972771</v>
      </c>
      <c r="G21">
        <f t="shared" si="2"/>
        <v>2146572.9678171994</v>
      </c>
      <c r="H21">
        <f t="shared" si="2"/>
        <v>2885361.7357293605</v>
      </c>
      <c r="J21" s="6">
        <f>NPV($D$2,E21:H21)-D21</f>
        <v>4094638.2035539662</v>
      </c>
    </row>
    <row r="22" spans="1:10" ht="12.75">
      <c r="A22" t="s">
        <v>34</v>
      </c>
      <c r="D22">
        <v>306000</v>
      </c>
      <c r="E22">
        <f t="shared" si="2"/>
        <v>1025088.5435232985</v>
      </c>
      <c r="F22">
        <f t="shared" si="2"/>
        <v>1949955.175639135</v>
      </c>
      <c r="G22">
        <f t="shared" si="2"/>
        <v>3036925.704729457</v>
      </c>
      <c r="H22">
        <f t="shared" si="2"/>
        <v>4082148.314571301</v>
      </c>
      <c r="J22" s="6">
        <f>NPV($D$2,E22:H22)-D22</f>
        <v>5628484.76869949</v>
      </c>
    </row>
    <row r="23" spans="1:10" ht="12.75">
      <c r="A23" t="s">
        <v>31</v>
      </c>
      <c r="D23">
        <v>0</v>
      </c>
      <c r="E23">
        <f t="shared" si="2"/>
        <v>559603.3811678685</v>
      </c>
      <c r="F23">
        <f t="shared" si="2"/>
        <v>1064494.8832058078</v>
      </c>
      <c r="G23">
        <f t="shared" si="2"/>
        <v>1657880.0957827603</v>
      </c>
      <c r="H23">
        <f t="shared" si="2"/>
        <v>2228474.81195257</v>
      </c>
      <c r="J23" s="6">
        <f>NPV($D$2,E23:H23)-D23</f>
        <v>3239678.916553975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C12" sqref="C12:F12"/>
    </sheetView>
  </sheetViews>
  <sheetFormatPr defaultColWidth="9.140625" defaultRowHeight="12.75"/>
  <cols>
    <col min="2" max="2" width="10.57421875" style="0" bestFit="1" customWidth="1"/>
  </cols>
  <sheetData>
    <row r="1" ht="12.75">
      <c r="A1" t="s">
        <v>29</v>
      </c>
    </row>
    <row r="2" spans="3:6" ht="12.75">
      <c r="C2" t="s">
        <v>31</v>
      </c>
      <c r="D2" t="s">
        <v>32</v>
      </c>
      <c r="E2" t="s">
        <v>33</v>
      </c>
      <c r="F2" t="s">
        <v>34</v>
      </c>
    </row>
    <row r="3" spans="1:6" ht="12.75">
      <c r="A3" t="s">
        <v>30</v>
      </c>
      <c r="C3">
        <v>18</v>
      </c>
      <c r="D3">
        <v>18</v>
      </c>
      <c r="E3">
        <v>18</v>
      </c>
      <c r="F3">
        <v>18</v>
      </c>
    </row>
    <row r="4" spans="1:7" ht="12.75">
      <c r="A4" t="s">
        <v>13</v>
      </c>
      <c r="B4" s="4">
        <v>0.2560263157894737</v>
      </c>
      <c r="C4" s="2">
        <f>+C$3*$B$4</f>
        <v>4.6084736842105265</v>
      </c>
      <c r="D4" s="2">
        <f>+D$3*$B$4</f>
        <v>4.6084736842105265</v>
      </c>
      <c r="E4" s="2">
        <f>+E$3*$B$4*1.025</f>
        <v>4.723685526315789</v>
      </c>
      <c r="F4" s="2">
        <f>+F3*B4*1.035</f>
        <v>4.769770263157895</v>
      </c>
      <c r="G4" t="s">
        <v>9</v>
      </c>
    </row>
    <row r="5" spans="1:7" ht="12.75">
      <c r="A5" t="s">
        <v>14</v>
      </c>
      <c r="B5" s="4">
        <v>0.15375789473684212</v>
      </c>
      <c r="C5" s="2">
        <f>+C$3*B5*1.11</f>
        <v>3.072082736842106</v>
      </c>
      <c r="D5" s="2">
        <f>+B5*D3/1.1</f>
        <v>2.516038277511962</v>
      </c>
      <c r="E5" s="2">
        <f>+B5*E3/1.25</f>
        <v>2.2141136842105267</v>
      </c>
      <c r="F5" s="2">
        <f>+B5*F3/1.225</f>
        <v>2.2592996777658434</v>
      </c>
      <c r="G5" t="s">
        <v>9</v>
      </c>
    </row>
    <row r="6" spans="1:6" ht="12.75">
      <c r="A6" t="s">
        <v>22</v>
      </c>
      <c r="B6" s="4">
        <v>0.13287719298245615</v>
      </c>
      <c r="C6" s="2">
        <f>+C$3*B6*0.935</f>
        <v>2.236323157894737</v>
      </c>
      <c r="D6" s="2">
        <f>+B6*D3</f>
        <v>2.3917894736842107</v>
      </c>
      <c r="E6" s="2">
        <f>+E3*B6*1.025</f>
        <v>2.451584210526316</v>
      </c>
      <c r="F6" s="2">
        <f>+B6*F3</f>
        <v>2.3917894736842107</v>
      </c>
    </row>
    <row r="7" spans="1:9" ht="12.75">
      <c r="A7" t="s">
        <v>35</v>
      </c>
      <c r="C7" s="2">
        <f>SUM(C4:C6)</f>
        <v>9.91687957894737</v>
      </c>
      <c r="D7" s="2">
        <f>SUM(D4:D6)</f>
        <v>9.5163014354067</v>
      </c>
      <c r="E7" s="2">
        <f>SUM(E4:E6)</f>
        <v>9.389383421052631</v>
      </c>
      <c r="F7" s="2">
        <f>SUM(F4:F6)</f>
        <v>9.42085941460795</v>
      </c>
      <c r="I7" t="s">
        <v>9</v>
      </c>
    </row>
    <row r="8" spans="1:6" ht="12.75">
      <c r="A8" t="s">
        <v>23</v>
      </c>
      <c r="B8" s="2">
        <v>0.29725084730335566</v>
      </c>
      <c r="C8" s="2">
        <f>+C3*$B$8</f>
        <v>5.3505152514604015</v>
      </c>
      <c r="D8" s="2">
        <f>+D3*$B$8</f>
        <v>5.3505152514604015</v>
      </c>
      <c r="E8" s="2">
        <f>+E3*$B$8</f>
        <v>5.3505152514604015</v>
      </c>
      <c r="F8" s="2">
        <f>+F3*$B$8</f>
        <v>5.3505152514604015</v>
      </c>
    </row>
    <row r="9" spans="1:6" ht="12.75">
      <c r="A9" t="s">
        <v>36</v>
      </c>
      <c r="C9" s="2">
        <f>+C3-C7-C8</f>
        <v>2.7326051695922287</v>
      </c>
      <c r="D9" s="2">
        <f>+D3-D7-D8</f>
        <v>3.133183313132899</v>
      </c>
      <c r="E9" s="2">
        <f>+E3-E7-E8</f>
        <v>3.260101327486967</v>
      </c>
      <c r="F9" s="2">
        <f>+F3-F7-F8</f>
        <v>3.2286253339316486</v>
      </c>
    </row>
    <row r="10" spans="1:6" ht="12.75">
      <c r="A10" t="s">
        <v>25</v>
      </c>
      <c r="C10">
        <v>0.355</v>
      </c>
      <c r="D10">
        <v>0.355</v>
      </c>
      <c r="E10">
        <v>0.3</v>
      </c>
      <c r="F10">
        <v>0</v>
      </c>
    </row>
    <row r="11" spans="1:6" ht="12.75">
      <c r="A11" t="s">
        <v>37</v>
      </c>
      <c r="C11" s="2">
        <f>+C9*(1-C10)</f>
        <v>1.7625303343869876</v>
      </c>
      <c r="D11" s="2">
        <f>+D9*(1-D10)</f>
        <v>2.02090323697072</v>
      </c>
      <c r="E11" s="2">
        <f>+E9*(1-E10)</f>
        <v>2.2820709292408767</v>
      </c>
      <c r="F11" s="2">
        <f>+F9*(1-F10)</f>
        <v>3.2286253339316486</v>
      </c>
    </row>
    <row r="12" spans="1:6" ht="12.75">
      <c r="A12" t="s">
        <v>17</v>
      </c>
      <c r="C12" s="2">
        <f>+C11/C3</f>
        <v>0.0979183519103882</v>
      </c>
      <c r="D12" s="2">
        <f>+D11/D3</f>
        <v>0.1122724020539289</v>
      </c>
      <c r="E12" s="2">
        <f>+E11/E3</f>
        <v>0.1267817182911598</v>
      </c>
      <c r="F12" s="2">
        <f>+F11/F3</f>
        <v>0.1793680741073138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Sarkis</dc:creator>
  <cp:keywords/>
  <dc:description/>
  <cp:lastModifiedBy>Joe Sarkis</cp:lastModifiedBy>
  <dcterms:created xsi:type="dcterms:W3CDTF">2000-03-21T11:01:47Z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